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885" windowHeight="6960" tabRatio="777" activeTab="0"/>
  </bookViews>
  <sheets>
    <sheet name="Index" sheetId="1" r:id="rId1"/>
    <sheet name="Income" sheetId="2" r:id="rId2"/>
    <sheet name="Costs" sheetId="3" r:id="rId3"/>
    <sheet name="Capping" sheetId="4" r:id="rId4"/>
    <sheet name="SpendingPower" sheetId="5" r:id="rId5"/>
    <sheet name="SpendingPowerComparison" sheetId="6" r:id="rId6"/>
    <sheet name="NoWorktoWorking" sheetId="7" r:id="rId7"/>
    <sheet name="ChartData" sheetId="8" state="hidden" r:id="rId8"/>
    <sheet name="Present" sheetId="9" r:id="rId9"/>
    <sheet name="ChartTool" sheetId="10" r:id="rId10"/>
    <sheet name="ReportTables" sheetId="11" state="hidden" r:id="rId11"/>
    <sheet name="Case studies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Gareth  Morgan</author>
  </authors>
  <commentList>
    <comment ref="E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O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T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O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P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T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U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O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T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J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K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O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P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T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U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J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O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J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O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T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J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O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T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  <comment ref="T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</commentList>
</comments>
</file>

<file path=xl/comments4.xml><?xml version="1.0" encoding="utf-8"?>
<comments xmlns="http://schemas.openxmlformats.org/spreadsheetml/2006/main">
  <authors>
    <author>Gareth  Morgan</author>
  </authors>
  <commentList>
    <comment ref="D16" authorId="0">
      <text>
        <r>
          <rPr>
            <b/>
            <sz val="9"/>
            <rFont val="Tahoma"/>
            <family val="2"/>
          </rPr>
          <t>Capped by:</t>
        </r>
        <r>
          <rPr>
            <sz val="9"/>
            <rFont val="Tahoma"/>
            <family val="2"/>
          </rPr>
          <t xml:space="preserve">
22.39</t>
        </r>
      </text>
    </comment>
    <comment ref="I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Capped by 14.90</t>
        </r>
      </text>
    </comment>
    <comment ref="N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16.23</t>
        </r>
      </text>
    </comment>
    <comment ref="S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18.41</t>
        </r>
      </text>
    </comment>
    <comment ref="D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87.35</t>
        </r>
      </text>
    </comment>
    <comment ref="E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48.75</t>
        </r>
      </text>
    </comment>
    <comment ref="I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79.86</t>
        </r>
      </text>
    </comment>
    <comment ref="J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28.78</t>
        </r>
      </text>
    </comment>
    <comment ref="N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81.19</t>
        </r>
      </text>
    </comment>
    <comment ref="O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32.32</t>
        </r>
      </text>
    </comment>
    <comment ref="S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83.37</t>
        </r>
      </text>
    </comment>
    <comment ref="T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38.14</t>
        </r>
      </text>
    </comment>
    <comment ref="D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64.22</t>
        </r>
      </text>
    </comment>
    <comment ref="I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49.25</t>
        </r>
      </text>
    </comment>
    <comment ref="N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51.9</t>
        </r>
      </text>
    </comment>
    <comment ref="S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56.27</t>
        </r>
      </text>
    </comment>
    <comment ref="D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149.06</t>
        </r>
      </text>
    </comment>
    <comment ref="E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110.46</t>
        </r>
      </text>
    </comment>
    <comment ref="I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141.58</t>
        </r>
      </text>
    </comment>
    <comment ref="J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90.49</t>
        </r>
      </text>
    </comment>
    <comment ref="N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142.90</t>
        </r>
      </text>
    </comment>
    <comment ref="O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94.03</t>
        </r>
      </text>
    </comment>
    <comment ref="S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145.09</t>
        </r>
      </text>
    </comment>
    <comment ref="T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99.85</t>
        </r>
      </text>
    </comment>
    <comment ref="D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125.94</t>
        </r>
      </text>
    </comment>
    <comment ref="I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110.96</t>
        </r>
      </text>
    </comment>
    <comment ref="N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113.61</t>
        </r>
      </text>
    </comment>
    <comment ref="S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117.98</t>
        </r>
      </text>
    </comment>
    <comment ref="D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47.44</t>
        </r>
      </text>
    </comment>
    <comment ref="E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8.84</t>
        </r>
      </text>
    </comment>
    <comment ref="I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39.95</t>
        </r>
      </text>
    </comment>
    <comment ref="N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41.28</t>
        </r>
      </text>
    </comment>
    <comment ref="S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43.46</t>
        </r>
      </text>
    </comment>
    <comment ref="D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24.31</t>
        </r>
      </text>
    </comment>
    <comment ref="I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9.34</t>
        </r>
      </text>
    </comment>
    <comment ref="N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11.99</t>
        </r>
      </text>
    </comment>
    <comment ref="S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8.xml><?xml version="1.0" encoding="utf-8"?>
<comments xmlns="http://schemas.openxmlformats.org/spreadsheetml/2006/main">
  <authors>
    <author>Gareth  Morgan</author>
  </authors>
  <commentList>
    <comment ref="E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H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E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F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F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G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G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H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H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G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H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E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F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F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G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G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H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H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G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H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  <comment ref="E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E10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F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G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H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G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H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9.xml><?xml version="1.0" encoding="utf-8"?>
<comments xmlns="http://schemas.openxmlformats.org/spreadsheetml/2006/main">
  <authors>
    <author>Gareth  Morgan</author>
  </authors>
  <commentList>
    <comment ref="E20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E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E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</commentList>
</comments>
</file>

<file path=xl/sharedStrings.xml><?xml version="1.0" encoding="utf-8"?>
<sst xmlns="http://schemas.openxmlformats.org/spreadsheetml/2006/main" count="2811" uniqueCount="141">
  <si>
    <t>Minimum wage</t>
  </si>
  <si>
    <t>London Living Wage</t>
  </si>
  <si>
    <t>London median (entry level: elementary occupations)</t>
  </si>
  <si>
    <t>National median (entry level: elementary occupations)</t>
  </si>
  <si>
    <t>Part-time - 6 hours</t>
  </si>
  <si>
    <t>Part-time - 16 hours</t>
  </si>
  <si>
    <t>Part-time - 24 hours</t>
  </si>
  <si>
    <t>Full-time - 35 hours</t>
  </si>
  <si>
    <t>Rent</t>
  </si>
  <si>
    <t>Family/household type - London Rent Private</t>
  </si>
  <si>
    <t>Single person over 25</t>
  </si>
  <si>
    <t>Lone parent - two children - 2 Beds</t>
  </si>
  <si>
    <t>Couple - no children - both out of work</t>
  </si>
  <si>
    <t>Couple -two children - both out of work</t>
  </si>
  <si>
    <t>Couple - no children - one working</t>
  </si>
  <si>
    <t>Couple - no children - both working</t>
  </si>
  <si>
    <t>Couple - two children - 2 beds - one working</t>
  </si>
  <si>
    <t>Couple - two children - 2 beds - both working</t>
  </si>
  <si>
    <t>Couple - two children - 3 beds - one working</t>
  </si>
  <si>
    <t>Couple - two children - 3 beds - both working</t>
  </si>
  <si>
    <t>Couple - three children - one working</t>
  </si>
  <si>
    <t>Couple - three children - both working</t>
  </si>
  <si>
    <t>Couple - Four children - 3 beds - one working</t>
  </si>
  <si>
    <t>Couple - Four children - 3 beds - both working</t>
  </si>
  <si>
    <t>Family/household type - London Rent RSL</t>
  </si>
  <si>
    <t>Family/household type - National</t>
  </si>
  <si>
    <t>Family/household type - National RSL</t>
  </si>
  <si>
    <t>Family/household type - Rent Private</t>
  </si>
  <si>
    <t>Family/household type - Rent RSL</t>
  </si>
  <si>
    <t>Out of Work</t>
  </si>
  <si>
    <t>Total Net Income - Earnings, Universal Credit, Child Benefit &amp; Council Tax Benefit</t>
  </si>
  <si>
    <t>Source: Ferret Information Systems Ltd and Inclusion</t>
  </si>
  <si>
    <t>Costs (Childcare &amp; Transport)</t>
  </si>
  <si>
    <t>Disposable Income (Net income less rent, Council Tax, childcare &amp; transport)</t>
  </si>
  <si>
    <t>Capped Benefits</t>
  </si>
  <si>
    <t>Out of work</t>
  </si>
  <si>
    <t>Income: Minimum wage</t>
  </si>
  <si>
    <t>Income: Out of work</t>
  </si>
  <si>
    <t>Income: London Living Wage</t>
  </si>
  <si>
    <t>Income: London median (entry level: elementary occupations)</t>
  </si>
  <si>
    <t>Income: National median (entry level: elementary occupations)</t>
  </si>
  <si>
    <t>Difference</t>
  </si>
  <si>
    <t>Incomes reaching £500 benefit cap</t>
  </si>
  <si>
    <t>Chart Tool</t>
  </si>
  <si>
    <t>London</t>
  </si>
  <si>
    <t>National</t>
  </si>
  <si>
    <t>=HLOOKUP($J$3,$E$3:$H$243,4,FALSE)</t>
  </si>
  <si>
    <t>'=HLOOKUP($J$3,$E$3:$H$243,</t>
  </si>
  <si>
    <t>,FALSE)</t>
  </si>
  <si>
    <t>Private rent</t>
  </si>
  <si>
    <t>RSL rent</t>
  </si>
  <si>
    <t>Total Net Income</t>
  </si>
  <si>
    <t>Choose earning level</t>
  </si>
  <si>
    <t>Choose working hours</t>
  </si>
  <si>
    <t>Choose rental type</t>
  </si>
  <si>
    <t>Index</t>
  </si>
  <si>
    <t>ABOVE ZERO = EARNING MORE IN WORK</t>
  </si>
  <si>
    <t>3 bedroom house</t>
  </si>
  <si>
    <t>2 bedroom house</t>
  </si>
  <si>
    <t>1 bedroom house</t>
  </si>
  <si>
    <t>Costs (rents)</t>
  </si>
  <si>
    <t>In-work costs (childcare &amp; transport)</t>
  </si>
  <si>
    <t>Lone parent - two children</t>
  </si>
  <si>
    <t>Couple - no children</t>
  </si>
  <si>
    <t>Couple - two children</t>
  </si>
  <si>
    <t>Couple - three children</t>
  </si>
  <si>
    <t>Couple - Four children</t>
  </si>
  <si>
    <t>Number of bedrooms</t>
  </si>
  <si>
    <t>Household</t>
  </si>
  <si>
    <t>Private</t>
  </si>
  <si>
    <t>RSL</t>
  </si>
  <si>
    <t>&lt;50</t>
  </si>
  <si>
    <t>51-100</t>
  </si>
  <si>
    <t>101-200</t>
  </si>
  <si>
    <t>201-300</t>
  </si>
  <si>
    <t>301-400</t>
  </si>
  <si>
    <t>401+</t>
  </si>
  <si>
    <t>United Kingdom</t>
  </si>
  <si>
    <t>All</t>
  </si>
  <si>
    <t xml:space="preserve">Elementary </t>
  </si>
  <si>
    <t>Median Hourly pay - Gross (£) - For full-time employee jobs, 2010</t>
  </si>
  <si>
    <t>Full time</t>
  </si>
  <si>
    <t>Part time</t>
  </si>
  <si>
    <t>England</t>
  </si>
  <si>
    <t>Childcare costs 2010</t>
  </si>
  <si>
    <t>(for 25 hours per week unless otherwise stated)</t>
  </si>
  <si>
    <t>Nursery under 2 years</t>
  </si>
  <si>
    <t>Nursery 2 years and over</t>
  </si>
  <si>
    <t>Childminder under 2 years</t>
  </si>
  <si>
    <t>Childminder 2 years and over</t>
  </si>
  <si>
    <t>Out of school club (15 hours/week)</t>
  </si>
  <si>
    <t>Source: Childcare costs survey 2010, Daycare Trust</t>
  </si>
  <si>
    <t>Chart Tool (figures are annual)</t>
  </si>
  <si>
    <t>Gap</t>
  </si>
  <si>
    <t>2nd</t>
  </si>
  <si>
    <t>3rd</t>
  </si>
  <si>
    <t>Widest gap</t>
  </si>
  <si>
    <t>Widest</t>
  </si>
  <si>
    <t>Lone parent with two children living in a 2 Bedroom house on private rent</t>
  </si>
  <si>
    <t>Working part time (16 hours) on minimum wage</t>
  </si>
  <si>
    <t>Total net income under Universal Credit</t>
  </si>
  <si>
    <t>Couple with two children living in a 2 Bedroom house on private rent</t>
  </si>
  <si>
    <t>One working full time (35 hours) on London median earnings for an entry level job (elementary occupations)</t>
  </si>
  <si>
    <t>Both working full time (35 hours) on London median earnings for an entry level job (elementary occupations)</t>
  </si>
  <si>
    <t>CASE STUDIES</t>
  </si>
  <si>
    <t>Working full time (35 hours) on minimum wage</t>
  </si>
  <si>
    <t>Case Studies</t>
  </si>
  <si>
    <t>Spending Power (living money) under Universal Credit</t>
  </si>
  <si>
    <t>Spending Power: difference between out of work to in work under Universal Credit</t>
  </si>
  <si>
    <t>Difference in Spending Power: present system (April 2011) compared with Universal Credit (2014)</t>
  </si>
  <si>
    <t>Spending Power</t>
  </si>
  <si>
    <t>Spending Power: difference between out of work to in work situations</t>
  </si>
  <si>
    <t>Comparison of Spending Power - London to National</t>
  </si>
  <si>
    <t>Spending Power (Net income less rent, Council Tax, childcare &amp; transport)</t>
  </si>
  <si>
    <t>No Work</t>
  </si>
  <si>
    <t>Costs</t>
  </si>
  <si>
    <t>Childcare &amp; Transport</t>
  </si>
  <si>
    <t>London CT</t>
  </si>
  <si>
    <t>Present</t>
  </si>
  <si>
    <t>UC</t>
  </si>
  <si>
    <t>Net Income</t>
  </si>
  <si>
    <t>Out of work to working</t>
  </si>
  <si>
    <t>Part-time - 
6 hours</t>
  </si>
  <si>
    <t>Part-time - 
16 hours</t>
  </si>
  <si>
    <t>Part-time - 
24 hours</t>
  </si>
  <si>
    <t>Full-time - 
35 hours</t>
  </si>
  <si>
    <t>Present system</t>
  </si>
  <si>
    <t>Universal Credit</t>
  </si>
  <si>
    <t>Out of work net earnings: benefits</t>
  </si>
  <si>
    <t>National CT</t>
  </si>
  <si>
    <t>NATIONAL</t>
  </si>
  <si>
    <t>LONDON</t>
  </si>
  <si>
    <t>London: Present system</t>
  </si>
  <si>
    <t>London: Universal Credit</t>
  </si>
  <si>
    <t>National: Present system</t>
  </si>
  <si>
    <t>National: Universal Credit</t>
  </si>
  <si>
    <t>spending power</t>
  </si>
  <si>
    <t>Gain/loss in spending power: moving from out of work to in-work</t>
  </si>
  <si>
    <t xml:space="preserve"> &lt; pick</t>
  </si>
  <si>
    <t>Comparison: the present benefits system and Universal Credit</t>
  </si>
  <si>
    <t>Difference between the present system as at April 2011 compared to Universal Credit (based on moving into work at minimum wage)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</si>
</sst>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&quot;£&quot;#,##0"/>
    <numFmt numFmtId="175" formatCode="&quot;£&quot;#,##0.0"/>
    <numFmt numFmtId="176" formatCode="\£#,##0"/>
    <numFmt numFmtId="177" formatCode="#,##0.0"/>
    <numFmt numFmtId="178" formatCode="#,##0.00_ ;[Red]\-#,##0.00\ "/>
    <numFmt numFmtId="179" formatCode="#,##0.0_ ;[Red]\-#,##0.0\ "/>
    <numFmt numFmtId="180" formatCode="#,##0_ ;[Red]\-#,##0\ 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Arial"/>
      <family val="2"/>
    </font>
    <font>
      <b/>
      <sz val="14"/>
      <color indexed="54"/>
      <name val="Calibri"/>
      <family val="2"/>
    </font>
    <font>
      <sz val="14"/>
      <color indexed="54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9"/>
      <color indexed="54"/>
      <name val="Calibri"/>
      <family val="2"/>
    </font>
    <font>
      <b/>
      <sz val="10"/>
      <color indexed="54"/>
      <name val="Arial"/>
      <family val="2"/>
    </font>
    <font>
      <b/>
      <sz val="9"/>
      <name val="Calibri"/>
      <family val="2"/>
    </font>
    <font>
      <sz val="9.2"/>
      <color indexed="8"/>
      <name val="Calibri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4" fontId="3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5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40" fontId="3" fillId="24" borderId="0" xfId="0" applyNumberFormat="1" applyFont="1" applyFill="1" applyBorder="1" applyAlignment="1">
      <alignment horizontal="center" vertical="center"/>
    </xf>
    <xf numFmtId="40" fontId="2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 quotePrefix="1">
      <alignment horizontal="center" vertical="center" wrapText="1"/>
    </xf>
    <xf numFmtId="2" fontId="7" fillId="24" borderId="0" xfId="0" applyNumberFormat="1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2" fillId="24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hidden="1"/>
    </xf>
    <xf numFmtId="0" fontId="17" fillId="26" borderId="0" xfId="0" applyFont="1" applyFill="1" applyAlignment="1" applyProtection="1">
      <alignment horizontal="center" vertical="center"/>
      <protection hidden="1"/>
    </xf>
    <xf numFmtId="0" fontId="17" fillId="26" borderId="21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16" fillId="26" borderId="22" xfId="0" applyFont="1" applyFill="1" applyBorder="1" applyAlignment="1" applyProtection="1">
      <alignment horizontal="center" vertical="center"/>
      <protection hidden="1"/>
    </xf>
    <xf numFmtId="0" fontId="16" fillId="26" borderId="23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Alignment="1" applyProtection="1">
      <alignment horizontal="center" vertical="center"/>
      <protection hidden="1"/>
    </xf>
    <xf numFmtId="2" fontId="7" fillId="24" borderId="24" xfId="0" applyNumberFormat="1" applyFont="1" applyFill="1" applyBorder="1" applyAlignment="1" applyProtection="1">
      <alignment horizontal="center" vertical="center"/>
      <protection hidden="1"/>
    </xf>
    <xf numFmtId="0" fontId="4" fillId="24" borderId="11" xfId="0" applyFont="1" applyFill="1" applyBorder="1" applyAlignment="1" applyProtection="1">
      <alignment horizontal="left" vertical="center" wrapText="1"/>
      <protection hidden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9" fillId="24" borderId="0" xfId="0" applyFont="1" applyFill="1" applyAlignment="1" applyProtection="1">
      <alignment/>
      <protection hidden="1"/>
    </xf>
    <xf numFmtId="0" fontId="4" fillId="24" borderId="12" xfId="0" applyFont="1" applyFill="1" applyBorder="1" applyAlignment="1" applyProtection="1">
      <alignment horizontal="left" vertical="center" wrapText="1"/>
      <protection hidden="1"/>
    </xf>
    <xf numFmtId="0" fontId="18" fillId="20" borderId="0" xfId="0" applyFont="1" applyFill="1" applyAlignment="1" applyProtection="1">
      <alignment horizontal="center" vertical="center" wrapText="1"/>
      <protection hidden="1" locked="0"/>
    </xf>
    <xf numFmtId="0" fontId="18" fillId="20" borderId="21" xfId="0" applyFont="1" applyFill="1" applyBorder="1" applyAlignment="1" applyProtection="1">
      <alignment horizontal="center" vertical="center" wrapText="1"/>
      <protection hidden="1" locked="0"/>
    </xf>
    <xf numFmtId="0" fontId="4" fillId="20" borderId="0" xfId="0" applyFont="1" applyFill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2" fillId="0" borderId="25" xfId="0" applyFont="1" applyBorder="1" applyAlignment="1">
      <alignment/>
    </xf>
    <xf numFmtId="4" fontId="3" fillId="0" borderId="28" xfId="0" applyNumberFormat="1" applyFont="1" applyBorder="1" applyAlignment="1">
      <alignment/>
    </xf>
    <xf numFmtId="40" fontId="3" fillId="0" borderId="28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0" fontId="2" fillId="0" borderId="29" xfId="0" applyNumberFormat="1" applyFont="1" applyFill="1" applyBorder="1" applyAlignment="1">
      <alignment/>
    </xf>
    <xf numFmtId="0" fontId="4" fillId="20" borderId="33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26" fillId="24" borderId="0" xfId="53" applyFont="1" applyFill="1" applyAlignment="1" applyProtection="1">
      <alignment vertical="center"/>
      <protection/>
    </xf>
    <xf numFmtId="4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left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17" fillId="27" borderId="43" xfId="0" applyNumberFormat="1" applyFont="1" applyFill="1" applyBorder="1" applyAlignment="1">
      <alignment horizontal="center" vertical="center"/>
    </xf>
    <xf numFmtId="4" fontId="17" fillId="27" borderId="36" xfId="0" applyNumberFormat="1" applyFont="1" applyFill="1" applyBorder="1" applyAlignment="1">
      <alignment horizontal="center" vertical="center"/>
    </xf>
    <xf numFmtId="4" fontId="17" fillId="27" borderId="41" xfId="0" applyNumberFormat="1" applyFont="1" applyFill="1" applyBorder="1" applyAlignment="1">
      <alignment horizontal="center" vertical="center"/>
    </xf>
    <xf numFmtId="4" fontId="17" fillId="25" borderId="36" xfId="0" applyNumberFormat="1" applyFont="1" applyFill="1" applyBorder="1" applyAlignment="1">
      <alignment horizontal="center" vertical="center"/>
    </xf>
    <xf numFmtId="4" fontId="17" fillId="25" borderId="0" xfId="0" applyNumberFormat="1" applyFont="1" applyFill="1" applyBorder="1" applyAlignment="1">
      <alignment horizontal="center" vertical="center"/>
    </xf>
    <xf numFmtId="4" fontId="17" fillId="25" borderId="41" xfId="0" applyNumberFormat="1" applyFont="1" applyFill="1" applyBorder="1" applyAlignment="1">
      <alignment horizontal="center" vertical="center"/>
    </xf>
    <xf numFmtId="4" fontId="17" fillId="28" borderId="0" xfId="0" applyNumberFormat="1" applyFont="1" applyFill="1" applyBorder="1" applyAlignment="1">
      <alignment horizontal="center" vertical="center"/>
    </xf>
    <xf numFmtId="4" fontId="17" fillId="28" borderId="36" xfId="0" applyNumberFormat="1" applyFont="1" applyFill="1" applyBorder="1" applyAlignment="1">
      <alignment horizontal="center" vertical="center"/>
    </xf>
    <xf numFmtId="4" fontId="17" fillId="28" borderId="41" xfId="0" applyNumberFormat="1" applyFont="1" applyFill="1" applyBorder="1" applyAlignment="1">
      <alignment horizontal="center" vertical="center"/>
    </xf>
    <xf numFmtId="4" fontId="3" fillId="21" borderId="42" xfId="0" applyNumberFormat="1" applyFont="1" applyFill="1" applyBorder="1" applyAlignment="1">
      <alignment horizontal="center" vertical="center"/>
    </xf>
    <xf numFmtId="4" fontId="3" fillId="21" borderId="0" xfId="0" applyNumberFormat="1" applyFont="1" applyFill="1" applyBorder="1" applyAlignment="1">
      <alignment horizontal="center" vertical="center"/>
    </xf>
    <xf numFmtId="4" fontId="3" fillId="21" borderId="40" xfId="0" applyNumberFormat="1" applyFont="1" applyFill="1" applyBorder="1" applyAlignment="1">
      <alignment horizontal="center" vertical="center"/>
    </xf>
    <xf numFmtId="4" fontId="3" fillId="20" borderId="40" xfId="0" applyNumberFormat="1" applyFont="1" applyFill="1" applyBorder="1" applyAlignment="1">
      <alignment horizontal="center" vertical="center"/>
    </xf>
    <xf numFmtId="4" fontId="3" fillId="20" borderId="0" xfId="0" applyNumberFormat="1" applyFont="1" applyFill="1" applyBorder="1" applyAlignment="1">
      <alignment horizontal="center" vertical="center"/>
    </xf>
    <xf numFmtId="4" fontId="3" fillId="2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4" fontId="17" fillId="24" borderId="0" xfId="0" applyNumberFormat="1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17" fillId="28" borderId="49" xfId="0" applyFont="1" applyFill="1" applyBorder="1" applyAlignment="1">
      <alignment horizontal="center" vertical="center"/>
    </xf>
    <xf numFmtId="0" fontId="17" fillId="25" borderId="49" xfId="0" applyFont="1" applyFill="1" applyBorder="1" applyAlignment="1">
      <alignment horizontal="center" vertical="center"/>
    </xf>
    <xf numFmtId="0" fontId="17" fillId="27" borderId="5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4" fontId="32" fillId="24" borderId="0" xfId="0" applyNumberFormat="1" applyFont="1" applyFill="1" applyBorder="1" applyAlignment="1">
      <alignment horizontal="right"/>
    </xf>
    <xf numFmtId="0" fontId="32" fillId="24" borderId="44" xfId="0" applyFont="1" applyFill="1" applyBorder="1" applyAlignment="1">
      <alignment horizontal="left" wrapText="1"/>
    </xf>
    <xf numFmtId="0" fontId="32" fillId="24" borderId="51" xfId="0" applyFont="1" applyFill="1" applyBorder="1" applyAlignment="1">
      <alignment horizontal="left" wrapText="1"/>
    </xf>
    <xf numFmtId="0" fontId="32" fillId="24" borderId="38" xfId="0" applyFont="1" applyFill="1" applyBorder="1" applyAlignment="1">
      <alignment horizontal="left"/>
    </xf>
    <xf numFmtId="0" fontId="32" fillId="24" borderId="38" xfId="0" applyFont="1" applyFill="1" applyBorder="1" applyAlignment="1">
      <alignment horizontal="right"/>
    </xf>
    <xf numFmtId="4" fontId="32" fillId="24" borderId="42" xfId="0" applyNumberFormat="1" applyFont="1" applyFill="1" applyBorder="1" applyAlignment="1">
      <alignment horizontal="right"/>
    </xf>
    <xf numFmtId="4" fontId="32" fillId="24" borderId="36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4" fillId="24" borderId="37" xfId="0" applyFont="1" applyFill="1" applyBorder="1" applyAlignment="1">
      <alignment vertical="center"/>
    </xf>
    <xf numFmtId="0" fontId="4" fillId="24" borderId="44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2" fillId="24" borderId="0" xfId="0" applyFont="1" applyFill="1" applyBorder="1" applyAlignment="1">
      <alignment/>
    </xf>
    <xf numFmtId="0" fontId="32" fillId="24" borderId="38" xfId="0" applyFont="1" applyFill="1" applyBorder="1" applyAlignment="1">
      <alignment/>
    </xf>
    <xf numFmtId="4" fontId="7" fillId="24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6" xfId="0" applyFont="1" applyBorder="1" applyAlignment="1">
      <alignment vertical="center"/>
    </xf>
    <xf numFmtId="6" fontId="7" fillId="0" borderId="4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24" borderId="0" xfId="0" applyNumberFormat="1" applyFill="1" applyAlignment="1" applyProtection="1">
      <alignment/>
      <protection hidden="1"/>
    </xf>
    <xf numFmtId="0" fontId="16" fillId="26" borderId="0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Alignment="1">
      <alignment wrapText="1"/>
    </xf>
    <xf numFmtId="174" fontId="7" fillId="24" borderId="0" xfId="42" applyNumberFormat="1" applyFont="1" applyFill="1" applyAlignment="1" applyProtection="1">
      <alignment horizontal="center" vertical="center"/>
      <protection hidden="1"/>
    </xf>
    <xf numFmtId="174" fontId="7" fillId="24" borderId="24" xfId="42" applyNumberFormat="1" applyFont="1" applyFill="1" applyBorder="1" applyAlignment="1" applyProtection="1">
      <alignment horizontal="center" vertical="center"/>
      <protection hidden="1"/>
    </xf>
    <xf numFmtId="174" fontId="7" fillId="24" borderId="0" xfId="0" applyNumberFormat="1" applyFont="1" applyFill="1" applyAlignment="1" applyProtection="1">
      <alignment horizontal="center" vertical="center"/>
      <protection hidden="1"/>
    </xf>
    <xf numFmtId="0" fontId="33" fillId="19" borderId="0" xfId="0" applyFont="1" applyFill="1" applyAlignment="1" applyProtection="1">
      <alignment horizontal="center" vertical="center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174" fontId="7" fillId="24" borderId="38" xfId="42" applyNumberFormat="1" applyFont="1" applyFill="1" applyBorder="1" applyAlignment="1" applyProtection="1">
      <alignment horizontal="center" vertical="center"/>
      <protection hidden="1"/>
    </xf>
    <xf numFmtId="174" fontId="7" fillId="24" borderId="39" xfId="42" applyNumberFormat="1" applyFont="1" applyFill="1" applyBorder="1" applyAlignment="1" applyProtection="1">
      <alignment horizontal="center" vertical="center"/>
      <protection hidden="1"/>
    </xf>
    <xf numFmtId="0" fontId="7" fillId="24" borderId="37" xfId="0" applyFont="1" applyFill="1" applyBorder="1" applyAlignment="1">
      <alignment vertical="center" wrapText="1"/>
    </xf>
    <xf numFmtId="0" fontId="0" fillId="20" borderId="37" xfId="0" applyFill="1" applyBorder="1" applyAlignment="1">
      <alignment/>
    </xf>
    <xf numFmtId="0" fontId="36" fillId="20" borderId="38" xfId="0" applyFont="1" applyFill="1" applyBorder="1" applyAlignment="1" applyProtection="1">
      <alignment horizontal="center" vertical="center"/>
      <protection hidden="1"/>
    </xf>
    <xf numFmtId="0" fontId="36" fillId="20" borderId="39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31" fillId="2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29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14" fillId="22" borderId="0" xfId="0" applyFont="1" applyFill="1" applyAlignment="1">
      <alignment/>
    </xf>
    <xf numFmtId="4" fontId="3" fillId="22" borderId="40" xfId="42" applyNumberFormat="1" applyFont="1" applyFill="1" applyBorder="1" applyAlignment="1">
      <alignment/>
    </xf>
    <xf numFmtId="4" fontId="3" fillId="22" borderId="0" xfId="42" applyNumberFormat="1" applyFont="1" applyFill="1" applyBorder="1" applyAlignment="1">
      <alignment/>
    </xf>
    <xf numFmtId="4" fontId="3" fillId="22" borderId="41" xfId="42" applyNumberFormat="1" applyFont="1" applyFill="1" applyBorder="1" applyAlignment="1">
      <alignment/>
    </xf>
    <xf numFmtId="3" fontId="3" fillId="22" borderId="0" xfId="42" applyNumberFormat="1" applyFont="1" applyFill="1" applyBorder="1" applyAlignment="1">
      <alignment/>
    </xf>
    <xf numFmtId="3" fontId="3" fillId="22" borderId="41" xfId="42" applyNumberFormat="1" applyFont="1" applyFill="1" applyBorder="1" applyAlignment="1">
      <alignment/>
    </xf>
    <xf numFmtId="0" fontId="14" fillId="0" borderId="0" xfId="0" applyFont="1" applyAlignment="1">
      <alignment/>
    </xf>
    <xf numFmtId="4" fontId="3" fillId="0" borderId="40" xfId="42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4" fontId="3" fillId="0" borderId="4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41" xfId="42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3" fillId="0" borderId="40" xfId="42" applyNumberFormat="1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41" xfId="42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4" fontId="3" fillId="0" borderId="42" xfId="42" applyNumberFormat="1" applyFont="1" applyFill="1" applyBorder="1" applyAlignment="1">
      <alignment/>
    </xf>
    <xf numFmtId="4" fontId="3" fillId="0" borderId="36" xfId="42" applyNumberFormat="1" applyFont="1" applyFill="1" applyBorder="1" applyAlignment="1">
      <alignment/>
    </xf>
    <xf numFmtId="4" fontId="3" fillId="0" borderId="43" xfId="42" applyNumberFormat="1" applyFont="1" applyFill="1" applyBorder="1" applyAlignment="1">
      <alignment/>
    </xf>
    <xf numFmtId="3" fontId="3" fillId="0" borderId="36" xfId="42" applyNumberFormat="1" applyFont="1" applyFill="1" applyBorder="1" applyAlignment="1">
      <alignment/>
    </xf>
    <xf numFmtId="3" fontId="3" fillId="0" borderId="43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4" fontId="2" fillId="0" borderId="3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24" borderId="0" xfId="0" applyFont="1" applyFill="1" applyAlignment="1" applyProtection="1">
      <alignment/>
      <protection hidden="1"/>
    </xf>
    <xf numFmtId="0" fontId="2" fillId="0" borderId="40" xfId="0" applyFont="1" applyBorder="1" applyAlignment="1">
      <alignment/>
    </xf>
    <xf numFmtId="0" fontId="2" fillId="22" borderId="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3" fontId="3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 wrapText="1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3" fontId="3" fillId="24" borderId="40" xfId="42" applyNumberFormat="1" applyFont="1" applyFill="1" applyBorder="1" applyAlignment="1">
      <alignment horizontal="center"/>
    </xf>
    <xf numFmtId="3" fontId="3" fillId="24" borderId="0" xfId="42" applyNumberFormat="1" applyFont="1" applyFill="1" applyBorder="1" applyAlignment="1">
      <alignment horizontal="center"/>
    </xf>
    <xf numFmtId="3" fontId="3" fillId="24" borderId="41" xfId="42" applyNumberFormat="1" applyFont="1" applyFill="1" applyBorder="1" applyAlignment="1">
      <alignment horizontal="center"/>
    </xf>
    <xf numFmtId="3" fontId="3" fillId="24" borderId="42" xfId="42" applyNumberFormat="1" applyFont="1" applyFill="1" applyBorder="1" applyAlignment="1">
      <alignment horizontal="center"/>
    </xf>
    <xf numFmtId="3" fontId="3" fillId="24" borderId="36" xfId="42" applyNumberFormat="1" applyFont="1" applyFill="1" applyBorder="1" applyAlignment="1">
      <alignment horizontal="center"/>
    </xf>
    <xf numFmtId="3" fontId="3" fillId="24" borderId="43" xfId="42" applyNumberFormat="1" applyFont="1" applyFill="1" applyBorder="1" applyAlignment="1">
      <alignment horizontal="center"/>
    </xf>
    <xf numFmtId="0" fontId="2" fillId="24" borderId="48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16" fillId="26" borderId="54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26" borderId="57" xfId="0" applyFont="1" applyFill="1" applyBorder="1" applyAlignment="1">
      <alignment horizontal="center" vertical="center" wrapText="1"/>
    </xf>
    <xf numFmtId="0" fontId="16" fillId="26" borderId="58" xfId="0" applyFont="1" applyFill="1" applyBorder="1" applyAlignment="1">
      <alignment horizontal="center" vertical="center"/>
    </xf>
    <xf numFmtId="0" fontId="16" fillId="26" borderId="59" xfId="0" applyFont="1" applyFill="1" applyBorder="1" applyAlignment="1">
      <alignment horizontal="center" vertical="center"/>
    </xf>
    <xf numFmtId="0" fontId="25" fillId="24" borderId="0" xfId="53" applyFont="1" applyFill="1" applyAlignment="1" applyProtection="1">
      <alignment vertical="center"/>
      <protection/>
    </xf>
    <xf numFmtId="0" fontId="4" fillId="20" borderId="60" xfId="0" applyFont="1" applyFill="1" applyBorder="1" applyAlignment="1" applyProtection="1">
      <alignment horizontal="center" vertical="center" wrapText="1"/>
      <protection locked="0"/>
    </xf>
    <xf numFmtId="0" fontId="4" fillId="20" borderId="60" xfId="0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1" fillId="25" borderId="61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62" xfId="0" applyFont="1" applyFill="1" applyBorder="1" applyAlignment="1">
      <alignment horizontal="center" vertical="center" wrapText="1"/>
    </xf>
    <xf numFmtId="0" fontId="11" fillId="25" borderId="6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25" borderId="64" xfId="0" applyFont="1" applyFill="1" applyBorder="1" applyAlignment="1">
      <alignment horizontal="center" vertical="center" wrapText="1"/>
    </xf>
    <xf numFmtId="0" fontId="11" fillId="25" borderId="65" xfId="0" applyFont="1" applyFill="1" applyBorder="1" applyAlignment="1">
      <alignment horizontal="center" vertical="center" wrapText="1"/>
    </xf>
    <xf numFmtId="0" fontId="11" fillId="25" borderId="66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 wrapText="1"/>
    </xf>
    <xf numFmtId="0" fontId="34" fillId="24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>
      <alignment wrapText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24" borderId="67" xfId="0" applyFont="1" applyFill="1" applyBorder="1" applyAlignment="1" applyProtection="1">
      <alignment vertical="center" wrapText="1"/>
      <protection hidden="1"/>
    </xf>
    <xf numFmtId="0" fontId="0" fillId="0" borderId="67" xfId="0" applyBorder="1" applyAlignment="1" applyProtection="1">
      <alignment vertical="center" wrapText="1"/>
      <protection hidden="1"/>
    </xf>
    <xf numFmtId="0" fontId="20" fillId="24" borderId="24" xfId="0" applyFont="1" applyFill="1" applyBorder="1" applyAlignment="1" applyProtection="1">
      <alignment vertical="center" wrapText="1"/>
      <protection hidden="1"/>
    </xf>
    <xf numFmtId="0" fontId="21" fillId="0" borderId="68" xfId="0" applyFont="1" applyBorder="1" applyAlignment="1" applyProtection="1">
      <alignment wrapText="1"/>
      <protection hidden="1"/>
    </xf>
    <xf numFmtId="0" fontId="11" fillId="26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 applyProtection="1">
      <alignment vertical="center" wrapText="1"/>
      <protection hidden="1"/>
    </xf>
    <xf numFmtId="0" fontId="23" fillId="0" borderId="69" xfId="0" applyFont="1" applyBorder="1" applyAlignment="1" applyProtection="1">
      <alignment wrapText="1"/>
      <protection hidden="1"/>
    </xf>
    <xf numFmtId="0" fontId="22" fillId="24" borderId="24" xfId="0" applyFont="1" applyFill="1" applyBorder="1" applyAlignment="1" applyProtection="1">
      <alignment vertical="center" wrapText="1"/>
      <protection hidden="1"/>
    </xf>
    <xf numFmtId="0" fontId="23" fillId="0" borderId="68" xfId="0" applyFont="1" applyBorder="1" applyAlignment="1" applyProtection="1">
      <alignment wrapText="1"/>
      <protection hidden="1"/>
    </xf>
    <xf numFmtId="0" fontId="2" fillId="24" borderId="24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4" fillId="24" borderId="70" xfId="0" applyFont="1" applyFill="1" applyBorder="1" applyAlignment="1">
      <alignment horizontal="center" vertical="center" wrapText="1"/>
    </xf>
    <xf numFmtId="0" fontId="4" fillId="24" borderId="71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vertical="center" wrapText="1"/>
    </xf>
    <xf numFmtId="0" fontId="32" fillId="24" borderId="44" xfId="0" applyFont="1" applyFill="1" applyBorder="1" applyAlignment="1">
      <alignment vertical="center"/>
    </xf>
    <xf numFmtId="0" fontId="32" fillId="24" borderId="44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8" borderId="44" xfId="0" applyFont="1" applyFill="1" applyBorder="1" applyAlignment="1" applyProtection="1">
      <alignment horizontal="center" vertical="center" wrapText="1"/>
      <protection hidden="1"/>
    </xf>
    <xf numFmtId="0" fontId="11" fillId="27" borderId="44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25"/>
          <c:w val="0.97"/>
          <c:h val="0.920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ChartTool!$J$8:$J$19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405265"/>
        <c:axId val="49429658"/>
      </c:barChart>
      <c:catAx>
        <c:axId val="20405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5"/>
          <c:w val="0.97"/>
          <c:h val="0.920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ChartTool!$J$23:$J$34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213739"/>
        <c:axId val="44379332"/>
      </c:barChart>
      <c:catAx>
        <c:axId val="42213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0.9845"/>
          <c:h val="0.878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ChartTool!$I$38:$I$45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ChartTool!$J$38:$J$45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869669"/>
        <c:axId val="37956110"/>
      </c:barChart>
      <c:catAx>
        <c:axId val="63869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"/>
          <c:w val="0.318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2025"/>
          <c:w val="0.9607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ReportTables!$A$5</c:f>
              <c:strCache>
                <c:ptCount val="1"/>
                <c:pt idx="0">
                  <c:v>1 bedroom house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ReportTables!$A$6</c:f>
              <c:strCache>
                <c:ptCount val="1"/>
                <c:pt idx="0">
                  <c:v>2 bedroom house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ReportTables!$A$7</c:f>
              <c:strCache>
                <c:ptCount val="1"/>
                <c:pt idx="0">
                  <c:v>3 bedroom house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.01025"/>
          <c:w val="0.663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123825</xdr:rowOff>
    </xdr:from>
    <xdr:to>
      <xdr:col>4</xdr:col>
      <xdr:colOff>276225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6765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22.39</a:t>
          </a:r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3</xdr:col>
      <xdr:colOff>476250</xdr:colOff>
      <xdr:row>15</xdr:row>
      <xdr:rowOff>9525</xdr:rowOff>
    </xdr:to>
    <xdr:sp>
      <xdr:nvSpPr>
        <xdr:cNvPr id="2" name="Straight Arrow Connector 3"/>
        <xdr:cNvSpPr>
          <a:spLocks/>
        </xdr:cNvSpPr>
      </xdr:nvSpPr>
      <xdr:spPr>
        <a:xfrm rot="16200000" flipH="1">
          <a:off x="4067175" y="3133725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133350</xdr:rowOff>
    </xdr:from>
    <xdr:to>
      <xdr:col>6</xdr:col>
      <xdr:colOff>57150</xdr:colOff>
      <xdr:row>11</xdr:row>
      <xdr:rowOff>95250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4638675" y="2362200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87.35</a:t>
          </a:r>
        </a:p>
      </xdr:txBody>
    </xdr:sp>
    <xdr:clientData/>
  </xdr:twoCellAnchor>
  <xdr:twoCellAnchor>
    <xdr:from>
      <xdr:col>4</xdr:col>
      <xdr:colOff>38100</xdr:colOff>
      <xdr:row>11</xdr:row>
      <xdr:rowOff>95250</xdr:rowOff>
    </xdr:from>
    <xdr:to>
      <xdr:col>5</xdr:col>
      <xdr:colOff>238125</xdr:colOff>
      <xdr:row>16</xdr:row>
      <xdr:rowOff>133350</xdr:rowOff>
    </xdr:to>
    <xdr:sp>
      <xdr:nvSpPr>
        <xdr:cNvPr id="4" name="Straight Arrow Connector 18"/>
        <xdr:cNvSpPr>
          <a:spLocks/>
        </xdr:cNvSpPr>
      </xdr:nvSpPr>
      <xdr:spPr>
        <a:xfrm rot="5400000">
          <a:off x="4267200" y="280987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12</xdr:row>
      <xdr:rowOff>28575</xdr:rowOff>
    </xdr:from>
    <xdr:to>
      <xdr:col>7</xdr:col>
      <xdr:colOff>171450</xdr:colOff>
      <xdr:row>15</xdr:row>
      <xdr:rowOff>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362575" y="29051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48.75</a:t>
          </a:r>
        </a:p>
      </xdr:txBody>
    </xdr:sp>
    <xdr:clientData/>
  </xdr:twoCellAnchor>
  <xdr:twoCellAnchor>
    <xdr:from>
      <xdr:col>5</xdr:col>
      <xdr:colOff>38100</xdr:colOff>
      <xdr:row>15</xdr:row>
      <xdr:rowOff>0</xdr:rowOff>
    </xdr:from>
    <xdr:to>
      <xdr:col>6</xdr:col>
      <xdr:colOff>352425</xdr:colOff>
      <xdr:row>17</xdr:row>
      <xdr:rowOff>47625</xdr:rowOff>
    </xdr:to>
    <xdr:sp>
      <xdr:nvSpPr>
        <xdr:cNvPr id="6" name="Straight Arrow Connector 21"/>
        <xdr:cNvSpPr>
          <a:spLocks/>
        </xdr:cNvSpPr>
      </xdr:nvSpPr>
      <xdr:spPr>
        <a:xfrm rot="5400000">
          <a:off x="4876800" y="3362325"/>
          <a:ext cx="92392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142875</xdr:rowOff>
    </xdr:from>
    <xdr:to>
      <xdr:col>3</xdr:col>
      <xdr:colOff>95250</xdr:colOff>
      <xdr:row>22</xdr:row>
      <xdr:rowOff>114300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847975" y="4314825"/>
          <a:ext cx="866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64.22</a:t>
          </a:r>
        </a:p>
      </xdr:txBody>
    </xdr:sp>
    <xdr:clientData/>
  </xdr:twoCellAnchor>
  <xdr:twoCellAnchor>
    <xdr:from>
      <xdr:col>2</xdr:col>
      <xdr:colOff>285750</xdr:colOff>
      <xdr:row>18</xdr:row>
      <xdr:rowOff>95250</xdr:rowOff>
    </xdr:from>
    <xdr:to>
      <xdr:col>3</xdr:col>
      <xdr:colOff>200025</xdr:colOff>
      <xdr:row>20</xdr:row>
      <xdr:rowOff>142875</xdr:rowOff>
    </xdr:to>
    <xdr:sp>
      <xdr:nvSpPr>
        <xdr:cNvPr id="8" name="Straight Arrow Connector 24"/>
        <xdr:cNvSpPr>
          <a:spLocks/>
        </xdr:cNvSpPr>
      </xdr:nvSpPr>
      <xdr:spPr>
        <a:xfrm flipV="1">
          <a:off x="3295650" y="3943350"/>
          <a:ext cx="5238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6</xdr:col>
      <xdr:colOff>38100</xdr:colOff>
      <xdr:row>23</xdr:row>
      <xdr:rowOff>123825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61962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149.06</a:t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4</xdr:col>
      <xdr:colOff>514350</xdr:colOff>
      <xdr:row>21</xdr:row>
      <xdr:rowOff>0</xdr:rowOff>
    </xdr:to>
    <xdr:sp>
      <xdr:nvSpPr>
        <xdr:cNvPr id="10" name="Straight Arrow Connector 26"/>
        <xdr:cNvSpPr>
          <a:spLocks/>
        </xdr:cNvSpPr>
      </xdr:nvSpPr>
      <xdr:spPr>
        <a:xfrm rot="10800000">
          <a:off x="4286250" y="4114800"/>
          <a:ext cx="45720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28575</xdr:rowOff>
    </xdr:from>
    <xdr:to>
      <xdr:col>4</xdr:col>
      <xdr:colOff>361950</xdr:colOff>
      <xdr:row>26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3724275" y="4686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3</xdr:col>
      <xdr:colOff>542925</xdr:colOff>
      <xdr:row>23</xdr:row>
      <xdr:rowOff>28575</xdr:rowOff>
    </xdr:to>
    <xdr:sp>
      <xdr:nvSpPr>
        <xdr:cNvPr id="12" name="Straight Arrow Connector 30"/>
        <xdr:cNvSpPr>
          <a:spLocks/>
        </xdr:cNvSpPr>
      </xdr:nvSpPr>
      <xdr:spPr>
        <a:xfrm rot="16200000" flipV="1">
          <a:off x="4057650" y="4333875"/>
          <a:ext cx="1047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76200</xdr:rowOff>
    </xdr:from>
    <xdr:to>
      <xdr:col>7</xdr:col>
      <xdr:colOff>152400</xdr:colOff>
      <xdr:row>20</xdr:row>
      <xdr:rowOff>47625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5343525" y="37623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110.46</a:t>
          </a:r>
        </a:p>
      </xdr:txBody>
    </xdr:sp>
    <xdr:clientData/>
  </xdr:twoCellAnchor>
  <xdr:twoCellAnchor>
    <xdr:from>
      <xdr:col>5</xdr:col>
      <xdr:colOff>57150</xdr:colOff>
      <xdr:row>18</xdr:row>
      <xdr:rowOff>142875</xdr:rowOff>
    </xdr:from>
    <xdr:to>
      <xdr:col>5</xdr:col>
      <xdr:colOff>504825</xdr:colOff>
      <xdr:row>19</xdr:row>
      <xdr:rowOff>38100</xdr:rowOff>
    </xdr:to>
    <xdr:sp>
      <xdr:nvSpPr>
        <xdr:cNvPr id="14" name="Straight Arrow Connector 34"/>
        <xdr:cNvSpPr>
          <a:spLocks/>
        </xdr:cNvSpPr>
      </xdr:nvSpPr>
      <xdr:spPr>
        <a:xfrm rot="10800000" flipV="1">
          <a:off x="4895850" y="399097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257175</xdr:colOff>
      <xdr:row>13</xdr:row>
      <xdr:rowOff>76200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66675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14.90</a:t>
          </a:r>
        </a:p>
      </xdr:txBody>
    </xdr:sp>
    <xdr:clientData/>
  </xdr:twoCellAnchor>
  <xdr:twoCellAnchor>
    <xdr:from>
      <xdr:col>8</xdr:col>
      <xdr:colOff>438150</xdr:colOff>
      <xdr:row>13</xdr:row>
      <xdr:rowOff>76200</xdr:rowOff>
    </xdr:from>
    <xdr:to>
      <xdr:col>8</xdr:col>
      <xdr:colOff>457200</xdr:colOff>
      <xdr:row>14</xdr:row>
      <xdr:rowOff>161925</xdr:rowOff>
    </xdr:to>
    <xdr:sp>
      <xdr:nvSpPr>
        <xdr:cNvPr id="16" name="Straight Arrow Connector 38"/>
        <xdr:cNvSpPr>
          <a:spLocks/>
        </xdr:cNvSpPr>
      </xdr:nvSpPr>
      <xdr:spPr>
        <a:xfrm rot="16200000" flipH="1">
          <a:off x="71056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114300</xdr:rowOff>
    </xdr:from>
    <xdr:to>
      <xdr:col>11</xdr:col>
      <xdr:colOff>47625</xdr:colOff>
      <xdr:row>11</xdr:row>
      <xdr:rowOff>85725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76771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79.86</a:t>
          </a:r>
        </a:p>
      </xdr:txBody>
    </xdr:sp>
    <xdr:clientData/>
  </xdr:twoCellAnchor>
  <xdr:twoCellAnchor>
    <xdr:from>
      <xdr:col>9</xdr:col>
      <xdr:colOff>19050</xdr:colOff>
      <xdr:row>11</xdr:row>
      <xdr:rowOff>85725</xdr:rowOff>
    </xdr:from>
    <xdr:to>
      <xdr:col>10</xdr:col>
      <xdr:colOff>219075</xdr:colOff>
      <xdr:row>16</xdr:row>
      <xdr:rowOff>123825</xdr:rowOff>
    </xdr:to>
    <xdr:sp>
      <xdr:nvSpPr>
        <xdr:cNvPr id="18" name="Straight Arrow Connector 40"/>
        <xdr:cNvSpPr>
          <a:spLocks/>
        </xdr:cNvSpPr>
      </xdr:nvSpPr>
      <xdr:spPr>
        <a:xfrm rot="5400000">
          <a:off x="72961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12</xdr:row>
      <xdr:rowOff>19050</xdr:rowOff>
    </xdr:from>
    <xdr:to>
      <xdr:col>12</xdr:col>
      <xdr:colOff>161925</xdr:colOff>
      <xdr:row>14</xdr:row>
      <xdr:rowOff>152400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84010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28.78</a:t>
          </a:r>
        </a:p>
      </xdr:txBody>
    </xdr:sp>
    <xdr:clientData/>
  </xdr:twoCellAnchor>
  <xdr:twoCellAnchor>
    <xdr:from>
      <xdr:col>10</xdr:col>
      <xdr:colOff>19050</xdr:colOff>
      <xdr:row>14</xdr:row>
      <xdr:rowOff>152400</xdr:rowOff>
    </xdr:from>
    <xdr:to>
      <xdr:col>11</xdr:col>
      <xdr:colOff>333375</xdr:colOff>
      <xdr:row>17</xdr:row>
      <xdr:rowOff>28575</xdr:rowOff>
    </xdr:to>
    <xdr:sp>
      <xdr:nvSpPr>
        <xdr:cNvPr id="20" name="Straight Arrow Connector 42"/>
        <xdr:cNvSpPr>
          <a:spLocks/>
        </xdr:cNvSpPr>
      </xdr:nvSpPr>
      <xdr:spPr>
        <a:xfrm rot="5400000">
          <a:off x="79057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133350</xdr:rowOff>
    </xdr:from>
    <xdr:to>
      <xdr:col>8</xdr:col>
      <xdr:colOff>85725</xdr:colOff>
      <xdr:row>23</xdr:row>
      <xdr:rowOff>85725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5886450" y="4305300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49.25</a:t>
          </a:r>
        </a:p>
      </xdr:txBody>
    </xdr:sp>
    <xdr:clientData/>
  </xdr:twoCellAnchor>
  <xdr:twoCellAnchor>
    <xdr:from>
      <xdr:col>7</xdr:col>
      <xdr:colOff>276225</xdr:colOff>
      <xdr:row>18</xdr:row>
      <xdr:rowOff>76200</xdr:rowOff>
    </xdr:from>
    <xdr:to>
      <xdr:col>8</xdr:col>
      <xdr:colOff>180975</xdr:colOff>
      <xdr:row>20</xdr:row>
      <xdr:rowOff>133350</xdr:rowOff>
    </xdr:to>
    <xdr:sp>
      <xdr:nvSpPr>
        <xdr:cNvPr id="22" name="Straight Arrow Connector 44"/>
        <xdr:cNvSpPr>
          <a:spLocks/>
        </xdr:cNvSpPr>
      </xdr:nvSpPr>
      <xdr:spPr>
        <a:xfrm flipV="1">
          <a:off x="63341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0</xdr:rowOff>
    </xdr:from>
    <xdr:to>
      <xdr:col>11</xdr:col>
      <xdr:colOff>19050</xdr:colOff>
      <xdr:row>23</xdr:row>
      <xdr:rowOff>133350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76485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141.58</a:t>
          </a:r>
        </a:p>
      </xdr:txBody>
    </xdr:sp>
    <xdr:clientData/>
  </xdr:twoCellAnchor>
  <xdr:twoCellAnchor>
    <xdr:from>
      <xdr:col>9</xdr:col>
      <xdr:colOff>47625</xdr:colOff>
      <xdr:row>19</xdr:row>
      <xdr:rowOff>95250</xdr:rowOff>
    </xdr:from>
    <xdr:to>
      <xdr:col>9</xdr:col>
      <xdr:colOff>495300</xdr:colOff>
      <xdr:row>21</xdr:row>
      <xdr:rowOff>0</xdr:rowOff>
    </xdr:to>
    <xdr:sp>
      <xdr:nvSpPr>
        <xdr:cNvPr id="24" name="Straight Arrow Connector 46"/>
        <xdr:cNvSpPr>
          <a:spLocks/>
        </xdr:cNvSpPr>
      </xdr:nvSpPr>
      <xdr:spPr>
        <a:xfrm rot="10800000">
          <a:off x="73247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19050</xdr:rowOff>
    </xdr:from>
    <xdr:to>
      <xdr:col>9</xdr:col>
      <xdr:colOff>352425</xdr:colOff>
      <xdr:row>25</xdr:row>
      <xdr:rowOff>152400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67627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110.96</a:t>
          </a:r>
        </a:p>
      </xdr:txBody>
    </xdr:sp>
    <xdr:clientData/>
  </xdr:twoCellAnchor>
  <xdr:twoCellAnchor>
    <xdr:from>
      <xdr:col>8</xdr:col>
      <xdr:colOff>419100</xdr:colOff>
      <xdr:row>20</xdr:row>
      <xdr:rowOff>161925</xdr:rowOff>
    </xdr:from>
    <xdr:to>
      <xdr:col>8</xdr:col>
      <xdr:colOff>523875</xdr:colOff>
      <xdr:row>23</xdr:row>
      <xdr:rowOff>19050</xdr:rowOff>
    </xdr:to>
    <xdr:sp>
      <xdr:nvSpPr>
        <xdr:cNvPr id="26" name="Straight Arrow Connector 48"/>
        <xdr:cNvSpPr>
          <a:spLocks/>
        </xdr:cNvSpPr>
      </xdr:nvSpPr>
      <xdr:spPr>
        <a:xfrm rot="16200000" flipV="1">
          <a:off x="70866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17</xdr:row>
      <xdr:rowOff>57150</xdr:rowOff>
    </xdr:from>
    <xdr:to>
      <xdr:col>12</xdr:col>
      <xdr:colOff>133350</xdr:colOff>
      <xdr:row>20</xdr:row>
      <xdr:rowOff>28575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83724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90.49</a:t>
          </a:r>
        </a:p>
      </xdr:txBody>
    </xdr:sp>
    <xdr:clientData/>
  </xdr:twoCellAnchor>
  <xdr:twoCellAnchor>
    <xdr:from>
      <xdr:col>10</xdr:col>
      <xdr:colOff>47625</xdr:colOff>
      <xdr:row>18</xdr:row>
      <xdr:rowOff>133350</xdr:rowOff>
    </xdr:from>
    <xdr:to>
      <xdr:col>10</xdr:col>
      <xdr:colOff>485775</xdr:colOff>
      <xdr:row>19</xdr:row>
      <xdr:rowOff>19050</xdr:rowOff>
    </xdr:to>
    <xdr:sp>
      <xdr:nvSpPr>
        <xdr:cNvPr id="28" name="Straight Arrow Connector 50"/>
        <xdr:cNvSpPr>
          <a:spLocks/>
        </xdr:cNvSpPr>
      </xdr:nvSpPr>
      <xdr:spPr>
        <a:xfrm rot="10800000" flipV="1">
          <a:off x="79343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57150</xdr:rowOff>
    </xdr:from>
    <xdr:to>
      <xdr:col>4</xdr:col>
      <xdr:colOff>238125</xdr:colOff>
      <xdr:row>47</xdr:row>
      <xdr:rowOff>28575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360045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47.44</a:t>
          </a:r>
        </a:p>
      </xdr:txBody>
    </xdr:sp>
    <xdr:clientData/>
  </xdr:twoCellAnchor>
  <xdr:twoCellAnchor>
    <xdr:from>
      <xdr:col>3</xdr:col>
      <xdr:colOff>409575</xdr:colOff>
      <xdr:row>47</xdr:row>
      <xdr:rowOff>28575</xdr:rowOff>
    </xdr:from>
    <xdr:to>
      <xdr:col>3</xdr:col>
      <xdr:colOff>438150</xdr:colOff>
      <xdr:row>48</xdr:row>
      <xdr:rowOff>114300</xdr:rowOff>
    </xdr:to>
    <xdr:sp>
      <xdr:nvSpPr>
        <xdr:cNvPr id="30" name="Straight Arrow Connector 52"/>
        <xdr:cNvSpPr>
          <a:spLocks/>
        </xdr:cNvSpPr>
      </xdr:nvSpPr>
      <xdr:spPr>
        <a:xfrm rot="16200000" flipH="1">
          <a:off x="4029075" y="8572500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51</xdr:row>
      <xdr:rowOff>0</xdr:rowOff>
    </xdr:from>
    <xdr:to>
      <xdr:col>6</xdr:col>
      <xdr:colOff>47625</xdr:colOff>
      <xdr:row>53</xdr:row>
      <xdr:rowOff>133350</xdr:rowOff>
    </xdr:to>
    <xdr:sp>
      <xdr:nvSpPr>
        <xdr:cNvPr id="31" name="TextBox 59"/>
        <xdr:cNvSpPr txBox="1">
          <a:spLocks noChangeArrowheads="1"/>
        </xdr:cNvSpPr>
      </xdr:nvSpPr>
      <xdr:spPr>
        <a:xfrm>
          <a:off x="4629150" y="91916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8.84</a:t>
          </a:r>
        </a:p>
      </xdr:txBody>
    </xdr:sp>
    <xdr:clientData/>
  </xdr:twoCellAnchor>
  <xdr:twoCellAnchor>
    <xdr:from>
      <xdr:col>3</xdr:col>
      <xdr:colOff>38100</xdr:colOff>
      <xdr:row>53</xdr:row>
      <xdr:rowOff>38100</xdr:rowOff>
    </xdr:from>
    <xdr:to>
      <xdr:col>4</xdr:col>
      <xdr:colOff>295275</xdr:colOff>
      <xdr:row>56</xdr:row>
      <xdr:rowOff>9525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365760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24.31</a:t>
          </a:r>
        </a:p>
      </xdr:txBody>
    </xdr:sp>
    <xdr:clientData/>
  </xdr:twoCellAnchor>
  <xdr:twoCellAnchor>
    <xdr:from>
      <xdr:col>3</xdr:col>
      <xdr:colOff>361950</xdr:colOff>
      <xdr:row>51</xdr:row>
      <xdr:rowOff>0</xdr:rowOff>
    </xdr:from>
    <xdr:to>
      <xdr:col>3</xdr:col>
      <xdr:colOff>476250</xdr:colOff>
      <xdr:row>53</xdr:row>
      <xdr:rowOff>38100</xdr:rowOff>
    </xdr:to>
    <xdr:sp>
      <xdr:nvSpPr>
        <xdr:cNvPr id="33" name="Straight Arrow Connector 62"/>
        <xdr:cNvSpPr>
          <a:spLocks/>
        </xdr:cNvSpPr>
      </xdr:nvSpPr>
      <xdr:spPr>
        <a:xfrm rot="16200000" flipV="1">
          <a:off x="3981450" y="9191625"/>
          <a:ext cx="1143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44</xdr:row>
      <xdr:rowOff>38100</xdr:rowOff>
    </xdr:from>
    <xdr:to>
      <xdr:col>9</xdr:col>
      <xdr:colOff>219075</xdr:colOff>
      <xdr:row>47</xdr:row>
      <xdr:rowOff>9525</xdr:rowOff>
    </xdr:to>
    <xdr:sp>
      <xdr:nvSpPr>
        <xdr:cNvPr id="34" name="TextBox 65"/>
        <xdr:cNvSpPr txBox="1">
          <a:spLocks noChangeArrowheads="1"/>
        </xdr:cNvSpPr>
      </xdr:nvSpPr>
      <xdr:spPr>
        <a:xfrm>
          <a:off x="6629400" y="80962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39.95</a:t>
          </a:r>
        </a:p>
      </xdr:txBody>
    </xdr:sp>
    <xdr:clientData/>
  </xdr:twoCellAnchor>
  <xdr:twoCellAnchor>
    <xdr:from>
      <xdr:col>8</xdr:col>
      <xdr:colOff>400050</xdr:colOff>
      <xdr:row>47</xdr:row>
      <xdr:rowOff>9525</xdr:rowOff>
    </xdr:from>
    <xdr:to>
      <xdr:col>8</xdr:col>
      <xdr:colOff>419100</xdr:colOff>
      <xdr:row>48</xdr:row>
      <xdr:rowOff>95250</xdr:rowOff>
    </xdr:to>
    <xdr:sp>
      <xdr:nvSpPr>
        <xdr:cNvPr id="35" name="Straight Arrow Connector 66"/>
        <xdr:cNvSpPr>
          <a:spLocks/>
        </xdr:cNvSpPr>
      </xdr:nvSpPr>
      <xdr:spPr>
        <a:xfrm rot="16200000" flipH="1">
          <a:off x="7067550" y="855345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85725</xdr:rowOff>
    </xdr:from>
    <xdr:to>
      <xdr:col>9</xdr:col>
      <xdr:colOff>361950</xdr:colOff>
      <xdr:row>56</xdr:row>
      <xdr:rowOff>57150</xdr:rowOff>
    </xdr:to>
    <xdr:sp>
      <xdr:nvSpPr>
        <xdr:cNvPr id="36" name="TextBox 75"/>
        <xdr:cNvSpPr txBox="1">
          <a:spLocks noChangeArrowheads="1"/>
        </xdr:cNvSpPr>
      </xdr:nvSpPr>
      <xdr:spPr>
        <a:xfrm>
          <a:off x="6762750" y="9601200"/>
          <a:ext cx="876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9.34</a:t>
          </a:r>
        </a:p>
      </xdr:txBody>
    </xdr:sp>
    <xdr:clientData/>
  </xdr:twoCellAnchor>
  <xdr:twoCellAnchor>
    <xdr:from>
      <xdr:col>8</xdr:col>
      <xdr:colOff>428625</xdr:colOff>
      <xdr:row>51</xdr:row>
      <xdr:rowOff>0</xdr:rowOff>
    </xdr:from>
    <xdr:to>
      <xdr:col>8</xdr:col>
      <xdr:colOff>533400</xdr:colOff>
      <xdr:row>53</xdr:row>
      <xdr:rowOff>85725</xdr:rowOff>
    </xdr:to>
    <xdr:sp>
      <xdr:nvSpPr>
        <xdr:cNvPr id="37" name="Straight Arrow Connector 76"/>
        <xdr:cNvSpPr>
          <a:spLocks/>
        </xdr:cNvSpPr>
      </xdr:nvSpPr>
      <xdr:spPr>
        <a:xfrm rot="16200000" flipV="1">
          <a:off x="7096125" y="9191625"/>
          <a:ext cx="10477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66675</xdr:rowOff>
    </xdr:from>
    <xdr:to>
      <xdr:col>14</xdr:col>
      <xdr:colOff>304800</xdr:colOff>
      <xdr:row>47</xdr:row>
      <xdr:rowOff>38100</xdr:rowOff>
    </xdr:to>
    <xdr:sp>
      <xdr:nvSpPr>
        <xdr:cNvPr id="38" name="TextBox 79"/>
        <xdr:cNvSpPr txBox="1">
          <a:spLocks noChangeArrowheads="1"/>
        </xdr:cNvSpPr>
      </xdr:nvSpPr>
      <xdr:spPr>
        <a:xfrm>
          <a:off x="9763125" y="81248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41.28</a:t>
          </a:r>
        </a:p>
      </xdr:txBody>
    </xdr:sp>
    <xdr:clientData/>
  </xdr:twoCellAnchor>
  <xdr:twoCellAnchor>
    <xdr:from>
      <xdr:col>13</xdr:col>
      <xdr:colOff>476250</xdr:colOff>
      <xdr:row>47</xdr:row>
      <xdr:rowOff>38100</xdr:rowOff>
    </xdr:from>
    <xdr:to>
      <xdr:col>13</xdr:col>
      <xdr:colOff>504825</xdr:colOff>
      <xdr:row>48</xdr:row>
      <xdr:rowOff>123825</xdr:rowOff>
    </xdr:to>
    <xdr:sp>
      <xdr:nvSpPr>
        <xdr:cNvPr id="39" name="Straight Arrow Connector 80"/>
        <xdr:cNvSpPr>
          <a:spLocks/>
        </xdr:cNvSpPr>
      </xdr:nvSpPr>
      <xdr:spPr>
        <a:xfrm rot="16200000" flipH="1">
          <a:off x="10191750" y="8582025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53</xdr:row>
      <xdr:rowOff>38100</xdr:rowOff>
    </xdr:from>
    <xdr:to>
      <xdr:col>14</xdr:col>
      <xdr:colOff>428625</xdr:colOff>
      <xdr:row>56</xdr:row>
      <xdr:rowOff>9525</xdr:rowOff>
    </xdr:to>
    <xdr:sp>
      <xdr:nvSpPr>
        <xdr:cNvPr id="40" name="TextBox 89"/>
        <xdr:cNvSpPr txBox="1">
          <a:spLocks noChangeArrowheads="1"/>
        </xdr:cNvSpPr>
      </xdr:nvSpPr>
      <xdr:spPr>
        <a:xfrm>
          <a:off x="988695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11.99</a:t>
          </a:r>
        </a:p>
      </xdr:txBody>
    </xdr:sp>
    <xdr:clientData/>
  </xdr:twoCellAnchor>
  <xdr:twoCellAnchor>
    <xdr:from>
      <xdr:col>13</xdr:col>
      <xdr:colOff>495300</xdr:colOff>
      <xdr:row>51</xdr:row>
      <xdr:rowOff>0</xdr:rowOff>
    </xdr:from>
    <xdr:to>
      <xdr:col>13</xdr:col>
      <xdr:colOff>600075</xdr:colOff>
      <xdr:row>53</xdr:row>
      <xdr:rowOff>38100</xdr:rowOff>
    </xdr:to>
    <xdr:sp>
      <xdr:nvSpPr>
        <xdr:cNvPr id="41" name="Straight Arrow Connector 90"/>
        <xdr:cNvSpPr>
          <a:spLocks/>
        </xdr:cNvSpPr>
      </xdr:nvSpPr>
      <xdr:spPr>
        <a:xfrm rot="16200000" flipV="1">
          <a:off x="10210800" y="9191625"/>
          <a:ext cx="10477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44</xdr:row>
      <xdr:rowOff>57150</xdr:rowOff>
    </xdr:from>
    <xdr:to>
      <xdr:col>19</xdr:col>
      <xdr:colOff>180975</xdr:colOff>
      <xdr:row>47</xdr:row>
      <xdr:rowOff>28575</xdr:rowOff>
    </xdr:to>
    <xdr:sp>
      <xdr:nvSpPr>
        <xdr:cNvPr id="42" name="TextBox 93"/>
        <xdr:cNvSpPr txBox="1">
          <a:spLocks noChangeArrowheads="1"/>
        </xdr:cNvSpPr>
      </xdr:nvSpPr>
      <xdr:spPr>
        <a:xfrm>
          <a:off x="1268730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43.46</a:t>
          </a:r>
        </a:p>
      </xdr:txBody>
    </xdr:sp>
    <xdr:clientData/>
  </xdr:twoCellAnchor>
  <xdr:twoCellAnchor>
    <xdr:from>
      <xdr:col>18</xdr:col>
      <xdr:colOff>361950</xdr:colOff>
      <xdr:row>47</xdr:row>
      <xdr:rowOff>28575</xdr:rowOff>
    </xdr:from>
    <xdr:to>
      <xdr:col>18</xdr:col>
      <xdr:colOff>381000</xdr:colOff>
      <xdr:row>48</xdr:row>
      <xdr:rowOff>114300</xdr:rowOff>
    </xdr:to>
    <xdr:sp>
      <xdr:nvSpPr>
        <xdr:cNvPr id="43" name="Straight Arrow Connector 94"/>
        <xdr:cNvSpPr>
          <a:spLocks/>
        </xdr:cNvSpPr>
      </xdr:nvSpPr>
      <xdr:spPr>
        <a:xfrm rot="16200000" flipH="1">
          <a:off x="13125450" y="857250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53</xdr:row>
      <xdr:rowOff>66675</xdr:rowOff>
    </xdr:from>
    <xdr:to>
      <xdr:col>19</xdr:col>
      <xdr:colOff>333375</xdr:colOff>
      <xdr:row>56</xdr:row>
      <xdr:rowOff>38100</xdr:rowOff>
    </xdr:to>
    <xdr:sp>
      <xdr:nvSpPr>
        <xdr:cNvPr id="44" name="TextBox 103"/>
        <xdr:cNvSpPr txBox="1">
          <a:spLocks noChangeArrowheads="1"/>
        </xdr:cNvSpPr>
      </xdr:nvSpPr>
      <xdr:spPr>
        <a:xfrm>
          <a:off x="12839700" y="9582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16.36</a:t>
          </a:r>
        </a:p>
      </xdr:txBody>
    </xdr:sp>
    <xdr:clientData/>
  </xdr:twoCellAnchor>
  <xdr:twoCellAnchor>
    <xdr:from>
      <xdr:col>18</xdr:col>
      <xdr:colOff>400050</xdr:colOff>
      <xdr:row>51</xdr:row>
      <xdr:rowOff>0</xdr:rowOff>
    </xdr:from>
    <xdr:to>
      <xdr:col>18</xdr:col>
      <xdr:colOff>514350</xdr:colOff>
      <xdr:row>53</xdr:row>
      <xdr:rowOff>66675</xdr:rowOff>
    </xdr:to>
    <xdr:sp>
      <xdr:nvSpPr>
        <xdr:cNvPr id="45" name="Straight Arrow Connector 104"/>
        <xdr:cNvSpPr>
          <a:spLocks/>
        </xdr:cNvSpPr>
      </xdr:nvSpPr>
      <xdr:spPr>
        <a:xfrm rot="16200000" flipV="1">
          <a:off x="13163550" y="9191625"/>
          <a:ext cx="11430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133350</xdr:rowOff>
    </xdr:from>
    <xdr:to>
      <xdr:col>19</xdr:col>
      <xdr:colOff>314325</xdr:colOff>
      <xdr:row>13</xdr:row>
      <xdr:rowOff>104775</xdr:rowOff>
    </xdr:to>
    <xdr:sp>
      <xdr:nvSpPr>
        <xdr:cNvPr id="46" name="TextBox 107"/>
        <xdr:cNvSpPr txBox="1">
          <a:spLocks noChangeArrowheads="1"/>
        </xdr:cNvSpPr>
      </xdr:nvSpPr>
      <xdr:spPr>
        <a:xfrm>
          <a:off x="12820650" y="26860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18.41</a:t>
          </a:r>
        </a:p>
      </xdr:txBody>
    </xdr:sp>
    <xdr:clientData/>
  </xdr:twoCellAnchor>
  <xdr:twoCellAnchor>
    <xdr:from>
      <xdr:col>18</xdr:col>
      <xdr:colOff>485775</xdr:colOff>
      <xdr:row>13</xdr:row>
      <xdr:rowOff>104775</xdr:rowOff>
    </xdr:from>
    <xdr:to>
      <xdr:col>18</xdr:col>
      <xdr:colOff>514350</xdr:colOff>
      <xdr:row>15</xdr:row>
      <xdr:rowOff>19050</xdr:rowOff>
    </xdr:to>
    <xdr:sp>
      <xdr:nvSpPr>
        <xdr:cNvPr id="47" name="Straight Arrow Connector 108"/>
        <xdr:cNvSpPr>
          <a:spLocks/>
        </xdr:cNvSpPr>
      </xdr:nvSpPr>
      <xdr:spPr>
        <a:xfrm rot="16200000" flipH="1">
          <a:off x="13249275" y="3143250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142875</xdr:rowOff>
    </xdr:from>
    <xdr:to>
      <xdr:col>21</xdr:col>
      <xdr:colOff>95250</xdr:colOff>
      <xdr:row>11</xdr:row>
      <xdr:rowOff>114300</xdr:rowOff>
    </xdr:to>
    <xdr:sp>
      <xdr:nvSpPr>
        <xdr:cNvPr id="48" name="TextBox 109"/>
        <xdr:cNvSpPr txBox="1">
          <a:spLocks noChangeArrowheads="1"/>
        </xdr:cNvSpPr>
      </xdr:nvSpPr>
      <xdr:spPr>
        <a:xfrm>
          <a:off x="13820775" y="23717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83.37</a:t>
          </a:r>
        </a:p>
      </xdr:txBody>
    </xdr:sp>
    <xdr:clientData/>
  </xdr:twoCellAnchor>
  <xdr:twoCellAnchor>
    <xdr:from>
      <xdr:col>19</xdr:col>
      <xdr:colOff>76200</xdr:colOff>
      <xdr:row>11</xdr:row>
      <xdr:rowOff>114300</xdr:rowOff>
    </xdr:from>
    <xdr:to>
      <xdr:col>20</xdr:col>
      <xdr:colOff>276225</xdr:colOff>
      <xdr:row>16</xdr:row>
      <xdr:rowOff>152400</xdr:rowOff>
    </xdr:to>
    <xdr:sp>
      <xdr:nvSpPr>
        <xdr:cNvPr id="49" name="Straight Arrow Connector 110"/>
        <xdr:cNvSpPr>
          <a:spLocks/>
        </xdr:cNvSpPr>
      </xdr:nvSpPr>
      <xdr:spPr>
        <a:xfrm rot="5400000">
          <a:off x="13449300" y="282892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12</xdr:row>
      <xdr:rowOff>47625</xdr:rowOff>
    </xdr:from>
    <xdr:to>
      <xdr:col>22</xdr:col>
      <xdr:colOff>209550</xdr:colOff>
      <xdr:row>15</xdr:row>
      <xdr:rowOff>19050</xdr:rowOff>
    </xdr:to>
    <xdr:sp>
      <xdr:nvSpPr>
        <xdr:cNvPr id="50" name="TextBox 111"/>
        <xdr:cNvSpPr txBox="1">
          <a:spLocks noChangeArrowheads="1"/>
        </xdr:cNvSpPr>
      </xdr:nvSpPr>
      <xdr:spPr>
        <a:xfrm>
          <a:off x="14544675" y="29241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38.14</a:t>
          </a:r>
        </a:p>
      </xdr:txBody>
    </xdr:sp>
    <xdr:clientData/>
  </xdr:twoCellAnchor>
  <xdr:twoCellAnchor>
    <xdr:from>
      <xdr:col>20</xdr:col>
      <xdr:colOff>76200</xdr:colOff>
      <xdr:row>15</xdr:row>
      <xdr:rowOff>19050</xdr:rowOff>
    </xdr:from>
    <xdr:to>
      <xdr:col>21</xdr:col>
      <xdr:colOff>390525</xdr:colOff>
      <xdr:row>17</xdr:row>
      <xdr:rowOff>57150</xdr:rowOff>
    </xdr:to>
    <xdr:sp>
      <xdr:nvSpPr>
        <xdr:cNvPr id="51" name="Straight Arrow Connector 112"/>
        <xdr:cNvSpPr>
          <a:spLocks/>
        </xdr:cNvSpPr>
      </xdr:nvSpPr>
      <xdr:spPr>
        <a:xfrm rot="5400000">
          <a:off x="14058900" y="3381375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20</xdr:row>
      <xdr:rowOff>161925</xdr:rowOff>
    </xdr:from>
    <xdr:to>
      <xdr:col>18</xdr:col>
      <xdr:colOff>133350</xdr:colOff>
      <xdr:row>23</xdr:row>
      <xdr:rowOff>123825</xdr:rowOff>
    </xdr:to>
    <xdr:sp>
      <xdr:nvSpPr>
        <xdr:cNvPr id="52" name="TextBox 113"/>
        <xdr:cNvSpPr txBox="1">
          <a:spLocks noChangeArrowheads="1"/>
        </xdr:cNvSpPr>
      </xdr:nvSpPr>
      <xdr:spPr>
        <a:xfrm>
          <a:off x="1203007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56.27</a:t>
          </a:r>
        </a:p>
      </xdr:txBody>
    </xdr:sp>
    <xdr:clientData/>
  </xdr:twoCellAnchor>
  <xdr:twoCellAnchor>
    <xdr:from>
      <xdr:col>17</xdr:col>
      <xdr:colOff>323850</xdr:colOff>
      <xdr:row>18</xdr:row>
      <xdr:rowOff>104775</xdr:rowOff>
    </xdr:from>
    <xdr:to>
      <xdr:col>18</xdr:col>
      <xdr:colOff>238125</xdr:colOff>
      <xdr:row>20</xdr:row>
      <xdr:rowOff>161925</xdr:rowOff>
    </xdr:to>
    <xdr:sp>
      <xdr:nvSpPr>
        <xdr:cNvPr id="53" name="Straight Arrow Connector 114"/>
        <xdr:cNvSpPr>
          <a:spLocks/>
        </xdr:cNvSpPr>
      </xdr:nvSpPr>
      <xdr:spPr>
        <a:xfrm flipV="1">
          <a:off x="12477750" y="3952875"/>
          <a:ext cx="52387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21</xdr:row>
      <xdr:rowOff>0</xdr:rowOff>
    </xdr:from>
    <xdr:to>
      <xdr:col>21</xdr:col>
      <xdr:colOff>76200</xdr:colOff>
      <xdr:row>24</xdr:row>
      <xdr:rowOff>28575</xdr:rowOff>
    </xdr:to>
    <xdr:sp>
      <xdr:nvSpPr>
        <xdr:cNvPr id="54" name="TextBox 115"/>
        <xdr:cNvSpPr txBox="1">
          <a:spLocks noChangeArrowheads="1"/>
        </xdr:cNvSpPr>
      </xdr:nvSpPr>
      <xdr:spPr>
        <a:xfrm>
          <a:off x="13801725" y="4333875"/>
          <a:ext cx="866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145.09</a:t>
          </a:r>
        </a:p>
      </xdr:txBody>
    </xdr:sp>
    <xdr:clientData/>
  </xdr:twoCellAnchor>
  <xdr:twoCellAnchor>
    <xdr:from>
      <xdr:col>19</xdr:col>
      <xdr:colOff>95250</xdr:colOff>
      <xdr:row>19</xdr:row>
      <xdr:rowOff>123825</xdr:rowOff>
    </xdr:from>
    <xdr:to>
      <xdr:col>19</xdr:col>
      <xdr:colOff>552450</xdr:colOff>
      <xdr:row>21</xdr:row>
      <xdr:rowOff>0</xdr:rowOff>
    </xdr:to>
    <xdr:sp>
      <xdr:nvSpPr>
        <xdr:cNvPr id="55" name="Straight Arrow Connector 116"/>
        <xdr:cNvSpPr>
          <a:spLocks/>
        </xdr:cNvSpPr>
      </xdr:nvSpPr>
      <xdr:spPr>
        <a:xfrm rot="10800000">
          <a:off x="13468350" y="4133850"/>
          <a:ext cx="4572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23</xdr:row>
      <xdr:rowOff>47625</xdr:rowOff>
    </xdr:from>
    <xdr:to>
      <xdr:col>19</xdr:col>
      <xdr:colOff>400050</xdr:colOff>
      <xdr:row>26</xdr:row>
      <xdr:rowOff>19050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12906375" y="47053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117.98</a:t>
          </a:r>
        </a:p>
      </xdr:txBody>
    </xdr:sp>
    <xdr:clientData/>
  </xdr:twoCellAnchor>
  <xdr:twoCellAnchor>
    <xdr:from>
      <xdr:col>18</xdr:col>
      <xdr:colOff>476250</xdr:colOff>
      <xdr:row>21</xdr:row>
      <xdr:rowOff>0</xdr:rowOff>
    </xdr:from>
    <xdr:to>
      <xdr:col>18</xdr:col>
      <xdr:colOff>581025</xdr:colOff>
      <xdr:row>23</xdr:row>
      <xdr:rowOff>47625</xdr:rowOff>
    </xdr:to>
    <xdr:sp>
      <xdr:nvSpPr>
        <xdr:cNvPr id="57" name="Straight Arrow Connector 118"/>
        <xdr:cNvSpPr>
          <a:spLocks/>
        </xdr:cNvSpPr>
      </xdr:nvSpPr>
      <xdr:spPr>
        <a:xfrm rot="16200000" flipV="1">
          <a:off x="13239750" y="4333875"/>
          <a:ext cx="1047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95250</xdr:rowOff>
    </xdr:from>
    <xdr:to>
      <xdr:col>22</xdr:col>
      <xdr:colOff>190500</xdr:colOff>
      <xdr:row>20</xdr:row>
      <xdr:rowOff>57150</xdr:rowOff>
    </xdr:to>
    <xdr:sp>
      <xdr:nvSpPr>
        <xdr:cNvPr id="58" name="TextBox 119"/>
        <xdr:cNvSpPr txBox="1">
          <a:spLocks noChangeArrowheads="1"/>
        </xdr:cNvSpPr>
      </xdr:nvSpPr>
      <xdr:spPr>
        <a:xfrm>
          <a:off x="14525625" y="378142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99.85</a:t>
          </a:r>
        </a:p>
      </xdr:txBody>
    </xdr:sp>
    <xdr:clientData/>
  </xdr:twoCellAnchor>
  <xdr:twoCellAnchor>
    <xdr:from>
      <xdr:col>20</xdr:col>
      <xdr:colOff>95250</xdr:colOff>
      <xdr:row>18</xdr:row>
      <xdr:rowOff>161925</xdr:rowOff>
    </xdr:from>
    <xdr:to>
      <xdr:col>20</xdr:col>
      <xdr:colOff>542925</xdr:colOff>
      <xdr:row>19</xdr:row>
      <xdr:rowOff>57150</xdr:rowOff>
    </xdr:to>
    <xdr:sp>
      <xdr:nvSpPr>
        <xdr:cNvPr id="59" name="Straight Arrow Connector 120"/>
        <xdr:cNvSpPr>
          <a:spLocks/>
        </xdr:cNvSpPr>
      </xdr:nvSpPr>
      <xdr:spPr>
        <a:xfrm rot="10800000" flipV="1">
          <a:off x="14077950" y="401002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14</xdr:col>
      <xdr:colOff>295275</xdr:colOff>
      <xdr:row>13</xdr:row>
      <xdr:rowOff>76200</xdr:rowOff>
    </xdr:to>
    <xdr:sp>
      <xdr:nvSpPr>
        <xdr:cNvPr id="60" name="TextBox 121"/>
        <xdr:cNvSpPr txBox="1">
          <a:spLocks noChangeArrowheads="1"/>
        </xdr:cNvSpPr>
      </xdr:nvSpPr>
      <xdr:spPr>
        <a:xfrm>
          <a:off x="97536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16.23</a:t>
          </a:r>
        </a:p>
      </xdr:txBody>
    </xdr:sp>
    <xdr:clientData/>
  </xdr:twoCellAnchor>
  <xdr:twoCellAnchor>
    <xdr:from>
      <xdr:col>13</xdr:col>
      <xdr:colOff>476250</xdr:colOff>
      <xdr:row>13</xdr:row>
      <xdr:rowOff>76200</xdr:rowOff>
    </xdr:from>
    <xdr:to>
      <xdr:col>13</xdr:col>
      <xdr:colOff>495300</xdr:colOff>
      <xdr:row>14</xdr:row>
      <xdr:rowOff>161925</xdr:rowOff>
    </xdr:to>
    <xdr:sp>
      <xdr:nvSpPr>
        <xdr:cNvPr id="61" name="Straight Arrow Connector 122"/>
        <xdr:cNvSpPr>
          <a:spLocks/>
        </xdr:cNvSpPr>
      </xdr:nvSpPr>
      <xdr:spPr>
        <a:xfrm rot="16200000" flipH="1">
          <a:off x="101917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8</xdr:row>
      <xdr:rowOff>114300</xdr:rowOff>
    </xdr:from>
    <xdr:to>
      <xdr:col>16</xdr:col>
      <xdr:colOff>85725</xdr:colOff>
      <xdr:row>11</xdr:row>
      <xdr:rowOff>85725</xdr:rowOff>
    </xdr:to>
    <xdr:sp>
      <xdr:nvSpPr>
        <xdr:cNvPr id="62" name="TextBox 123"/>
        <xdr:cNvSpPr txBox="1">
          <a:spLocks noChangeArrowheads="1"/>
        </xdr:cNvSpPr>
      </xdr:nvSpPr>
      <xdr:spPr>
        <a:xfrm>
          <a:off x="107632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81.18</a:t>
          </a:r>
        </a:p>
      </xdr:txBody>
    </xdr:sp>
    <xdr:clientData/>
  </xdr:twoCellAnchor>
  <xdr:twoCellAnchor>
    <xdr:from>
      <xdr:col>14</xdr:col>
      <xdr:colOff>57150</xdr:colOff>
      <xdr:row>11</xdr:row>
      <xdr:rowOff>85725</xdr:rowOff>
    </xdr:from>
    <xdr:to>
      <xdr:col>15</xdr:col>
      <xdr:colOff>257175</xdr:colOff>
      <xdr:row>16</xdr:row>
      <xdr:rowOff>123825</xdr:rowOff>
    </xdr:to>
    <xdr:sp>
      <xdr:nvSpPr>
        <xdr:cNvPr id="63" name="Straight Arrow Connector 124"/>
        <xdr:cNvSpPr>
          <a:spLocks/>
        </xdr:cNvSpPr>
      </xdr:nvSpPr>
      <xdr:spPr>
        <a:xfrm rot="5400000">
          <a:off x="103822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12</xdr:row>
      <xdr:rowOff>19050</xdr:rowOff>
    </xdr:from>
    <xdr:to>
      <xdr:col>17</xdr:col>
      <xdr:colOff>200025</xdr:colOff>
      <xdr:row>14</xdr:row>
      <xdr:rowOff>152400</xdr:rowOff>
    </xdr:to>
    <xdr:sp>
      <xdr:nvSpPr>
        <xdr:cNvPr id="64" name="TextBox 125"/>
        <xdr:cNvSpPr txBox="1">
          <a:spLocks noChangeArrowheads="1"/>
        </xdr:cNvSpPr>
      </xdr:nvSpPr>
      <xdr:spPr>
        <a:xfrm>
          <a:off x="114871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32.32</a:t>
          </a:r>
        </a:p>
      </xdr:txBody>
    </xdr:sp>
    <xdr:clientData/>
  </xdr:twoCellAnchor>
  <xdr:twoCellAnchor>
    <xdr:from>
      <xdr:col>15</xdr:col>
      <xdr:colOff>57150</xdr:colOff>
      <xdr:row>14</xdr:row>
      <xdr:rowOff>152400</xdr:rowOff>
    </xdr:from>
    <xdr:to>
      <xdr:col>16</xdr:col>
      <xdr:colOff>371475</xdr:colOff>
      <xdr:row>17</xdr:row>
      <xdr:rowOff>28575</xdr:rowOff>
    </xdr:to>
    <xdr:sp>
      <xdr:nvSpPr>
        <xdr:cNvPr id="65" name="Straight Arrow Connector 126"/>
        <xdr:cNvSpPr>
          <a:spLocks/>
        </xdr:cNvSpPr>
      </xdr:nvSpPr>
      <xdr:spPr>
        <a:xfrm rot="5400000">
          <a:off x="109918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20</xdr:row>
      <xdr:rowOff>133350</xdr:rowOff>
    </xdr:from>
    <xdr:to>
      <xdr:col>13</xdr:col>
      <xdr:colOff>123825</xdr:colOff>
      <xdr:row>23</xdr:row>
      <xdr:rowOff>123825</xdr:rowOff>
    </xdr:to>
    <xdr:sp>
      <xdr:nvSpPr>
        <xdr:cNvPr id="66" name="TextBox 127"/>
        <xdr:cNvSpPr txBox="1">
          <a:spLocks noChangeArrowheads="1"/>
        </xdr:cNvSpPr>
      </xdr:nvSpPr>
      <xdr:spPr>
        <a:xfrm>
          <a:off x="8972550" y="4305300"/>
          <a:ext cx="866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51.90</a:t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13</xdr:col>
      <xdr:colOff>219075</xdr:colOff>
      <xdr:row>20</xdr:row>
      <xdr:rowOff>133350</xdr:rowOff>
    </xdr:to>
    <xdr:sp>
      <xdr:nvSpPr>
        <xdr:cNvPr id="67" name="Straight Arrow Connector 128"/>
        <xdr:cNvSpPr>
          <a:spLocks/>
        </xdr:cNvSpPr>
      </xdr:nvSpPr>
      <xdr:spPr>
        <a:xfrm flipV="1">
          <a:off x="94202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21</xdr:row>
      <xdr:rowOff>0</xdr:rowOff>
    </xdr:from>
    <xdr:to>
      <xdr:col>16</xdr:col>
      <xdr:colOff>57150</xdr:colOff>
      <xdr:row>23</xdr:row>
      <xdr:rowOff>133350</xdr:rowOff>
    </xdr:to>
    <xdr:sp>
      <xdr:nvSpPr>
        <xdr:cNvPr id="68" name="TextBox 129"/>
        <xdr:cNvSpPr txBox="1">
          <a:spLocks noChangeArrowheads="1"/>
        </xdr:cNvSpPr>
      </xdr:nvSpPr>
      <xdr:spPr>
        <a:xfrm>
          <a:off x="107346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142.90</a:t>
          </a:r>
        </a:p>
      </xdr:txBody>
    </xdr:sp>
    <xdr:clientData/>
  </xdr:twoCellAnchor>
  <xdr:twoCellAnchor>
    <xdr:from>
      <xdr:col>14</xdr:col>
      <xdr:colOff>85725</xdr:colOff>
      <xdr:row>19</xdr:row>
      <xdr:rowOff>95250</xdr:rowOff>
    </xdr:from>
    <xdr:to>
      <xdr:col>14</xdr:col>
      <xdr:colOff>533400</xdr:colOff>
      <xdr:row>21</xdr:row>
      <xdr:rowOff>0</xdr:rowOff>
    </xdr:to>
    <xdr:sp>
      <xdr:nvSpPr>
        <xdr:cNvPr id="69" name="Straight Arrow Connector 130"/>
        <xdr:cNvSpPr>
          <a:spLocks/>
        </xdr:cNvSpPr>
      </xdr:nvSpPr>
      <xdr:spPr>
        <a:xfrm rot="10800000">
          <a:off x="104108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19050</xdr:rowOff>
    </xdr:from>
    <xdr:to>
      <xdr:col>14</xdr:col>
      <xdr:colOff>390525</xdr:colOff>
      <xdr:row>25</xdr:row>
      <xdr:rowOff>152400</xdr:rowOff>
    </xdr:to>
    <xdr:sp>
      <xdr:nvSpPr>
        <xdr:cNvPr id="70" name="TextBox 131"/>
        <xdr:cNvSpPr txBox="1">
          <a:spLocks noChangeArrowheads="1"/>
        </xdr:cNvSpPr>
      </xdr:nvSpPr>
      <xdr:spPr>
        <a:xfrm>
          <a:off x="98488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13</xdr:col>
      <xdr:colOff>457200</xdr:colOff>
      <xdr:row>20</xdr:row>
      <xdr:rowOff>161925</xdr:rowOff>
    </xdr:from>
    <xdr:to>
      <xdr:col>13</xdr:col>
      <xdr:colOff>561975</xdr:colOff>
      <xdr:row>23</xdr:row>
      <xdr:rowOff>19050</xdr:rowOff>
    </xdr:to>
    <xdr:sp>
      <xdr:nvSpPr>
        <xdr:cNvPr id="71" name="Straight Arrow Connector 132"/>
        <xdr:cNvSpPr>
          <a:spLocks/>
        </xdr:cNvSpPr>
      </xdr:nvSpPr>
      <xdr:spPr>
        <a:xfrm rot="16200000" flipV="1">
          <a:off x="101727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17</xdr:row>
      <xdr:rowOff>57150</xdr:rowOff>
    </xdr:from>
    <xdr:to>
      <xdr:col>17</xdr:col>
      <xdr:colOff>171450</xdr:colOff>
      <xdr:row>20</xdr:row>
      <xdr:rowOff>28575</xdr:rowOff>
    </xdr:to>
    <xdr:sp>
      <xdr:nvSpPr>
        <xdr:cNvPr id="72" name="TextBox 133"/>
        <xdr:cNvSpPr txBox="1">
          <a:spLocks noChangeArrowheads="1"/>
        </xdr:cNvSpPr>
      </xdr:nvSpPr>
      <xdr:spPr>
        <a:xfrm>
          <a:off x="114585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94.03</a:t>
          </a:r>
        </a:p>
      </xdr:txBody>
    </xdr:sp>
    <xdr:clientData/>
  </xdr:twoCellAnchor>
  <xdr:twoCellAnchor>
    <xdr:from>
      <xdr:col>15</xdr:col>
      <xdr:colOff>85725</xdr:colOff>
      <xdr:row>18</xdr:row>
      <xdr:rowOff>133350</xdr:rowOff>
    </xdr:from>
    <xdr:to>
      <xdr:col>15</xdr:col>
      <xdr:colOff>523875</xdr:colOff>
      <xdr:row>19</xdr:row>
      <xdr:rowOff>19050</xdr:rowOff>
    </xdr:to>
    <xdr:sp>
      <xdr:nvSpPr>
        <xdr:cNvPr id="73" name="Straight Arrow Connector 134"/>
        <xdr:cNvSpPr>
          <a:spLocks/>
        </xdr:cNvSpPr>
      </xdr:nvSpPr>
      <xdr:spPr>
        <a:xfrm rot="10800000" flipV="1">
          <a:off x="110204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6086475" cy="3000375"/>
    <xdr:graphicFrame>
      <xdr:nvGraphicFramePr>
        <xdr:cNvPr id="1" name="Chart 6"/>
        <xdr:cNvGraphicFramePr/>
      </xdr:nvGraphicFramePr>
      <xdr:xfrm>
        <a:off x="5419725" y="2409825"/>
        <a:ext cx="6086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12</xdr:col>
      <xdr:colOff>0</xdr:colOff>
      <xdr:row>22</xdr:row>
      <xdr:rowOff>0</xdr:rowOff>
    </xdr:from>
    <xdr:ext cx="6086475" cy="2990850"/>
    <xdr:graphicFrame>
      <xdr:nvGraphicFramePr>
        <xdr:cNvPr id="2" name="Chart 6"/>
        <xdr:cNvGraphicFramePr/>
      </xdr:nvGraphicFramePr>
      <xdr:xfrm>
        <a:off x="5419725" y="6315075"/>
        <a:ext cx="6086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12</xdr:col>
      <xdr:colOff>0</xdr:colOff>
      <xdr:row>36</xdr:row>
      <xdr:rowOff>457200</xdr:rowOff>
    </xdr:from>
    <xdr:ext cx="6076950" cy="2438400"/>
    <xdr:graphicFrame>
      <xdr:nvGraphicFramePr>
        <xdr:cNvPr id="3" name="Chart 6"/>
        <xdr:cNvGraphicFramePr/>
      </xdr:nvGraphicFramePr>
      <xdr:xfrm>
        <a:off x="5419725" y="10239375"/>
        <a:ext cx="60769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276225</xdr:rowOff>
    </xdr:from>
    <xdr:to>
      <xdr:col>19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8048625" y="276225"/>
        <a:ext cx="4953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8.8515625" style="72" customWidth="1"/>
    <col min="2" max="16384" width="9.140625" style="72" customWidth="1"/>
  </cols>
  <sheetData>
    <row r="1" ht="18.75">
      <c r="A1" s="73" t="s">
        <v>55</v>
      </c>
    </row>
    <row r="3" ht="30.75" customHeight="1">
      <c r="A3" s="297" t="s">
        <v>30</v>
      </c>
    </row>
    <row r="4" ht="30.75" customHeight="1">
      <c r="A4" s="297" t="s">
        <v>32</v>
      </c>
    </row>
    <row r="5" ht="30.75" customHeight="1">
      <c r="A5" s="297" t="s">
        <v>42</v>
      </c>
    </row>
    <row r="6" ht="30.75" customHeight="1">
      <c r="A6" s="297" t="s">
        <v>113</v>
      </c>
    </row>
    <row r="7" ht="30.75" customHeight="1">
      <c r="A7" s="297" t="s">
        <v>112</v>
      </c>
    </row>
    <row r="8" ht="30.75" customHeight="1">
      <c r="A8" s="297" t="s">
        <v>111</v>
      </c>
    </row>
    <row r="9" ht="30.75" customHeight="1">
      <c r="A9" s="297" t="s">
        <v>139</v>
      </c>
    </row>
    <row r="10" ht="30.75" customHeight="1">
      <c r="A10" s="297" t="s">
        <v>43</v>
      </c>
    </row>
    <row r="11" ht="30.75" customHeight="1">
      <c r="A11" s="297" t="s">
        <v>106</v>
      </c>
    </row>
  </sheetData>
  <sheetProtection/>
  <hyperlinks>
    <hyperlink ref="A3" location="Income!A1" display="Total Net Income - Earnings, Universal Credit, Child Benefit &amp; Council Tax Benefit"/>
    <hyperlink ref="A4" location="Costs!A1" display="Costs (Childcare &amp; Transport)"/>
    <hyperlink ref="A5" location="Capping!A1" display="Incomes reaching £500 benefit cap"/>
    <hyperlink ref="A6" location="SpendingPower!A1" display="Spending Power (Net income less rent, Council Tax, childcare &amp; transport)"/>
    <hyperlink ref="A7" location="SpendingPowerComparison!A1" display="Comparison of Spending Power - London to National"/>
    <hyperlink ref="A8" location="NoWorktoWorking!A1" display="Disposable Income: difference between out of work to in work situations"/>
    <hyperlink ref="A10" location="ChartTool!A1" display="Chart Tool"/>
    <hyperlink ref="A11" location="'Case studies'!A1" display="Case Studies"/>
    <hyperlink ref="A9" location="Present!A1" display="Chart Too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53"/>
  <sheetViews>
    <sheetView zoomScalePageLayoutView="0" workbookViewId="0" topLeftCell="A1">
      <pane ySplit="5" topLeftCell="BM6" activePane="bottomLeft" state="frozen"/>
      <selection pane="topLeft" activeCell="C16" sqref="C16"/>
      <selection pane="bottomLeft" activeCell="Q4" sqref="Q4"/>
    </sheetView>
  </sheetViews>
  <sheetFormatPr defaultColWidth="9.140625" defaultRowHeight="12.75"/>
  <cols>
    <col min="1" max="1" width="25.57421875" style="76" hidden="1" customWidth="1"/>
    <col min="2" max="2" width="2.8515625" style="76" customWidth="1"/>
    <col min="3" max="3" width="22.421875" style="76" customWidth="1"/>
    <col min="4" max="4" width="22.140625" style="76" customWidth="1"/>
    <col min="5" max="7" width="9.57421875" style="76" hidden="1" customWidth="1"/>
    <col min="8" max="8" width="5.28125" style="76" hidden="1" customWidth="1"/>
    <col min="9" max="11" width="9.57421875" style="76" customWidth="1"/>
    <col min="12" max="12" width="5.140625" style="76" customWidth="1"/>
    <col min="13" max="23" width="9.140625" style="76" customWidth="1"/>
    <col min="24" max="24" width="11.140625" style="76" hidden="1" customWidth="1"/>
    <col min="25" max="16384" width="9.140625" style="76" customWidth="1"/>
  </cols>
  <sheetData>
    <row r="1" spans="1:30" s="12" customFormat="1" ht="24" customHeight="1">
      <c r="A1" s="111" t="s">
        <v>55</v>
      </c>
      <c r="B1" s="11"/>
      <c r="C1" s="111" t="s">
        <v>55</v>
      </c>
      <c r="D1" s="29"/>
      <c r="E1" s="11"/>
      <c r="F1" s="11"/>
      <c r="G1" s="11"/>
      <c r="H1" s="11"/>
      <c r="I1" s="11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11"/>
      <c r="Z1" s="11"/>
      <c r="AA1" s="11"/>
      <c r="AB1" s="11"/>
      <c r="AC1" s="29"/>
      <c r="AD1" s="36"/>
    </row>
    <row r="2" spans="1:11" ht="27" customHeight="1">
      <c r="A2" s="74" t="s">
        <v>43</v>
      </c>
      <c r="B2" s="74"/>
      <c r="C2" s="75" t="s">
        <v>92</v>
      </c>
      <c r="K2" s="194" t="s">
        <v>96</v>
      </c>
    </row>
    <row r="3" spans="1:11" ht="30" customHeight="1" thickBot="1">
      <c r="A3" s="74"/>
      <c r="B3" s="74"/>
      <c r="C3" s="77" t="s">
        <v>52</v>
      </c>
      <c r="D3" s="88" t="s">
        <v>0</v>
      </c>
      <c r="F3" s="76">
        <f>365/7</f>
        <v>52.142857142857146</v>
      </c>
      <c r="K3" s="198" t="s">
        <v>97</v>
      </c>
    </row>
    <row r="4" spans="1:11" ht="30" customHeight="1" thickBot="1">
      <c r="A4" s="74"/>
      <c r="B4" s="74"/>
      <c r="C4" s="78" t="s">
        <v>53</v>
      </c>
      <c r="D4" s="89" t="s">
        <v>7</v>
      </c>
      <c r="K4" s="201" t="s">
        <v>94</v>
      </c>
    </row>
    <row r="5" spans="3:11" ht="30" customHeight="1">
      <c r="C5" s="77" t="s">
        <v>54</v>
      </c>
      <c r="D5" s="88" t="s">
        <v>49</v>
      </c>
      <c r="K5" s="202" t="s">
        <v>95</v>
      </c>
    </row>
    <row r="6" ht="19.5" customHeight="1" thickBot="1">
      <c r="C6" s="79"/>
    </row>
    <row r="7" spans="3:22" ht="29.25" customHeight="1" thickBot="1">
      <c r="C7" s="330" t="s">
        <v>51</v>
      </c>
      <c r="D7" s="331"/>
      <c r="E7" s="80" t="s">
        <v>44</v>
      </c>
      <c r="F7" s="81" t="s">
        <v>45</v>
      </c>
      <c r="G7" s="81" t="s">
        <v>41</v>
      </c>
      <c r="I7" s="80" t="s">
        <v>44</v>
      </c>
      <c r="J7" s="81" t="s">
        <v>45</v>
      </c>
      <c r="K7" s="81" t="s">
        <v>93</v>
      </c>
      <c r="L7" s="196"/>
      <c r="M7" s="329" t="str">
        <f>("London v National: "&amp;D5&amp;" - Total Annual Net Income, working "&amp;D4&amp;" on "&amp;D3)</f>
        <v>London v National: Private rent - Total Annual Net Income, working Full-time - 35 hours on Minimum wage</v>
      </c>
      <c r="N7" s="329"/>
      <c r="O7" s="329"/>
      <c r="P7" s="329"/>
      <c r="Q7" s="329"/>
      <c r="R7" s="329"/>
      <c r="S7" s="329"/>
      <c r="T7" s="329"/>
      <c r="U7" s="329"/>
      <c r="V7" s="329"/>
    </row>
    <row r="8" spans="3:12" ht="19.5" customHeight="1">
      <c r="C8" s="325" t="s">
        <v>10</v>
      </c>
      <c r="D8" s="326"/>
      <c r="E8" s="82">
        <f>ChartData!V5</f>
        <v>331.5487281169301</v>
      </c>
      <c r="F8" s="82">
        <f>ChartData!V20</f>
        <v>258.43463496624514</v>
      </c>
      <c r="G8" s="82">
        <f>E8-F8</f>
        <v>73.11409315068494</v>
      </c>
      <c r="I8" s="198">
        <f>E8*$F$3</f>
        <v>17287.89796609707</v>
      </c>
      <c r="J8" s="198">
        <f>F8*$F$3</f>
        <v>13475.520251811355</v>
      </c>
      <c r="K8" s="198">
        <f>I8-J8</f>
        <v>3812.3777142857143</v>
      </c>
      <c r="L8" s="82"/>
    </row>
    <row r="9" spans="3:12" ht="19.5" customHeight="1">
      <c r="C9" s="323" t="s">
        <v>11</v>
      </c>
      <c r="D9" s="324"/>
      <c r="E9" s="82">
        <f>ChartData!V6</f>
        <v>732.4261629206711</v>
      </c>
      <c r="F9" s="82">
        <f>ChartData!V21</f>
        <v>609.1307995356713</v>
      </c>
      <c r="G9" s="82">
        <f aca="true" t="shared" si="0" ref="G9:G19">E9-F9</f>
        <v>123.29536338499986</v>
      </c>
      <c r="I9" s="198">
        <f aca="true" t="shared" si="1" ref="I9:I19">E9*$F$3</f>
        <v>38190.792780863565</v>
      </c>
      <c r="J9" s="198">
        <f aca="true" t="shared" si="2" ref="J9:J19">F9*$F$3</f>
        <v>31761.82026150286</v>
      </c>
      <c r="K9" s="198">
        <f aca="true" t="shared" si="3" ref="K9:K19">I9-J9</f>
        <v>6428.972519360705</v>
      </c>
      <c r="L9" s="82"/>
    </row>
    <row r="10" spans="3:12" ht="19.5" customHeight="1">
      <c r="C10" s="323" t="s">
        <v>14</v>
      </c>
      <c r="D10" s="324"/>
      <c r="E10" s="82">
        <f>ChartData!V9</f>
        <v>376.35691163736857</v>
      </c>
      <c r="F10" s="82">
        <f>ChartData!V24</f>
        <v>303.24281848668363</v>
      </c>
      <c r="G10" s="82">
        <f t="shared" si="0"/>
        <v>73.11409315068494</v>
      </c>
      <c r="I10" s="198">
        <f t="shared" si="1"/>
        <v>19624.324678234218</v>
      </c>
      <c r="J10" s="198">
        <f t="shared" si="2"/>
        <v>15811.946963948505</v>
      </c>
      <c r="K10" s="198">
        <f t="shared" si="3"/>
        <v>3812.3777142857125</v>
      </c>
      <c r="L10" s="82"/>
    </row>
    <row r="11" spans="3:12" ht="19.5" customHeight="1">
      <c r="C11" s="323" t="s">
        <v>15</v>
      </c>
      <c r="D11" s="324"/>
      <c r="E11" s="82">
        <f>ChartData!V10</f>
        <v>439.77764881257497</v>
      </c>
      <c r="F11" s="82">
        <f>ChartData!V25</f>
        <v>373.128</v>
      </c>
      <c r="G11" s="82">
        <f t="shared" si="0"/>
        <v>66.64964881257498</v>
      </c>
      <c r="I11" s="198">
        <f t="shared" si="1"/>
        <v>22931.263116655697</v>
      </c>
      <c r="J11" s="198">
        <f t="shared" si="2"/>
        <v>19455.96</v>
      </c>
      <c r="K11" s="198">
        <f t="shared" si="3"/>
        <v>3475.3031166556975</v>
      </c>
      <c r="L11" s="82"/>
    </row>
    <row r="12" spans="3:12" ht="19.5" customHeight="1">
      <c r="C12" s="323" t="s">
        <v>16</v>
      </c>
      <c r="D12" s="324"/>
      <c r="E12" s="82">
        <f>ChartData!V11</f>
        <v>560.2099056577798</v>
      </c>
      <c r="F12" s="82">
        <f>ChartData!V26</f>
        <v>477.36581250709486</v>
      </c>
      <c r="G12" s="82">
        <f t="shared" si="0"/>
        <v>82.84409315068496</v>
      </c>
      <c r="I12" s="198">
        <f t="shared" si="1"/>
        <v>29210.94508072709</v>
      </c>
      <c r="J12" s="198">
        <f t="shared" si="2"/>
        <v>24891.217366441375</v>
      </c>
      <c r="K12" s="198">
        <f t="shared" si="3"/>
        <v>4319.7277142857165</v>
      </c>
      <c r="L12" s="82"/>
    </row>
    <row r="13" spans="3:12" ht="19.5" customHeight="1">
      <c r="C13" s="323" t="s">
        <v>17</v>
      </c>
      <c r="D13" s="324"/>
      <c r="E13" s="82">
        <f>ChartData!V12</f>
        <v>821.9661163594963</v>
      </c>
      <c r="F13" s="82">
        <f>ChartData!V27</f>
        <v>698.6707529744962</v>
      </c>
      <c r="G13" s="82">
        <f t="shared" si="0"/>
        <v>123.29536338500009</v>
      </c>
      <c r="I13" s="198">
        <f t="shared" si="1"/>
        <v>42859.661781602306</v>
      </c>
      <c r="J13" s="198">
        <f t="shared" si="2"/>
        <v>36430.68926224159</v>
      </c>
      <c r="K13" s="198">
        <f t="shared" si="3"/>
        <v>6428.9725193607155</v>
      </c>
      <c r="L13" s="82"/>
    </row>
    <row r="14" spans="3:12" ht="19.5" customHeight="1">
      <c r="C14" s="323" t="s">
        <v>18</v>
      </c>
      <c r="D14" s="324"/>
      <c r="E14" s="82">
        <f>ChartData!V13</f>
        <v>596.8099056577797</v>
      </c>
      <c r="F14" s="82">
        <f>ChartData!V28</f>
        <v>495.18581250709485</v>
      </c>
      <c r="G14" s="82">
        <f t="shared" si="0"/>
        <v>101.62409315068487</v>
      </c>
      <c r="I14" s="198">
        <f t="shared" si="1"/>
        <v>31119.37365215566</v>
      </c>
      <c r="J14" s="198">
        <f t="shared" si="2"/>
        <v>25820.40308072709</v>
      </c>
      <c r="K14" s="198">
        <f t="shared" si="3"/>
        <v>5298.97057142857</v>
      </c>
      <c r="L14" s="82"/>
    </row>
    <row r="15" spans="3:12" ht="19.5" customHeight="1">
      <c r="C15" s="323" t="s">
        <v>19</v>
      </c>
      <c r="D15" s="324"/>
      <c r="E15" s="82">
        <f>ChartData!V14</f>
        <v>858.5661163594962</v>
      </c>
      <c r="F15" s="82">
        <f>ChartData!V29</f>
        <v>716.4907529744962</v>
      </c>
      <c r="G15" s="82">
        <f t="shared" si="0"/>
        <v>142.07536338499995</v>
      </c>
      <c r="I15" s="198">
        <f t="shared" si="1"/>
        <v>44768.09035303087</v>
      </c>
      <c r="J15" s="198">
        <f t="shared" si="2"/>
        <v>37359.8749765273</v>
      </c>
      <c r="K15" s="198">
        <f t="shared" si="3"/>
        <v>7408.215376503569</v>
      </c>
      <c r="L15" s="82"/>
    </row>
    <row r="16" spans="3:12" ht="19.5" customHeight="1">
      <c r="C16" s="323" t="s">
        <v>20</v>
      </c>
      <c r="D16" s="324"/>
      <c r="E16" s="82">
        <f>ChartData!V15</f>
        <v>663.7043076557811</v>
      </c>
      <c r="F16" s="82">
        <f>ChartData!V30</f>
        <v>562.0802145050963</v>
      </c>
      <c r="G16" s="82">
        <f t="shared" si="0"/>
        <v>101.62409315068487</v>
      </c>
      <c r="I16" s="198">
        <f t="shared" si="1"/>
        <v>34607.438899194305</v>
      </c>
      <c r="J16" s="198">
        <f t="shared" si="2"/>
        <v>29308.468327765735</v>
      </c>
      <c r="K16" s="198">
        <f t="shared" si="3"/>
        <v>5298.97057142857</v>
      </c>
      <c r="L16" s="82"/>
    </row>
    <row r="17" spans="3:12" ht="19.5" customHeight="1">
      <c r="C17" s="323" t="s">
        <v>21</v>
      </c>
      <c r="D17" s="324"/>
      <c r="E17" s="82">
        <f>ChartData!V16</f>
        <v>923.5287485635213</v>
      </c>
      <c r="F17" s="82">
        <f>ChartData!V31</f>
        <v>822.1787485635214</v>
      </c>
      <c r="G17" s="82">
        <f t="shared" si="0"/>
        <v>101.34999999999991</v>
      </c>
      <c r="I17" s="198">
        <f t="shared" si="1"/>
        <v>48155.427603669326</v>
      </c>
      <c r="J17" s="198">
        <f t="shared" si="2"/>
        <v>42870.74903224076</v>
      </c>
      <c r="K17" s="198">
        <f t="shared" si="3"/>
        <v>5284.678571428565</v>
      </c>
      <c r="L17" s="82"/>
    </row>
    <row r="18" spans="3:12" ht="19.5" customHeight="1">
      <c r="C18" s="323" t="s">
        <v>22</v>
      </c>
      <c r="D18" s="324"/>
      <c r="E18" s="82">
        <f>ChartData!V17</f>
        <v>727.3487096537826</v>
      </c>
      <c r="F18" s="82">
        <f>ChartData!V32</f>
        <v>625.7246165030976</v>
      </c>
      <c r="G18" s="82">
        <f t="shared" si="0"/>
        <v>101.62409315068498</v>
      </c>
      <c r="I18" s="198">
        <f t="shared" si="1"/>
        <v>37926.03986051867</v>
      </c>
      <c r="J18" s="198">
        <f t="shared" si="2"/>
        <v>32627.069289090094</v>
      </c>
      <c r="K18" s="198">
        <f t="shared" si="3"/>
        <v>5298.970571428577</v>
      </c>
      <c r="L18" s="82"/>
    </row>
    <row r="19" spans="3:12" ht="19.5" customHeight="1" thickBot="1">
      <c r="C19" s="334" t="s">
        <v>23</v>
      </c>
      <c r="D19" s="335"/>
      <c r="E19" s="83">
        <f>ChartData!V18</f>
        <v>985.2413807675462</v>
      </c>
      <c r="F19" s="83">
        <f>ChartData!V33</f>
        <v>883.8913807675463</v>
      </c>
      <c r="G19" s="83">
        <f t="shared" si="0"/>
        <v>101.34999999999991</v>
      </c>
      <c r="I19" s="199">
        <f t="shared" si="1"/>
        <v>51373.300568593484</v>
      </c>
      <c r="J19" s="199">
        <f t="shared" si="2"/>
        <v>46088.62199716491</v>
      </c>
      <c r="K19" s="199">
        <f t="shared" si="3"/>
        <v>5284.6785714285725</v>
      </c>
      <c r="L19" s="195"/>
    </row>
    <row r="20" ht="19.5" customHeight="1"/>
    <row r="21" spans="1:2" ht="19.5" customHeight="1" thickBot="1">
      <c r="A21" s="84" t="s">
        <v>0</v>
      </c>
      <c r="B21" s="85"/>
    </row>
    <row r="22" spans="1:22" ht="34.5" customHeight="1" thickBot="1">
      <c r="A22" s="84" t="s">
        <v>1</v>
      </c>
      <c r="B22" s="85"/>
      <c r="C22" s="332" t="s">
        <v>110</v>
      </c>
      <c r="D22" s="333"/>
      <c r="E22" s="80" t="s">
        <v>44</v>
      </c>
      <c r="F22" s="81" t="s">
        <v>45</v>
      </c>
      <c r="G22" s="81" t="s">
        <v>41</v>
      </c>
      <c r="I22" s="80" t="s">
        <v>44</v>
      </c>
      <c r="J22" s="81" t="s">
        <v>45</v>
      </c>
      <c r="K22" s="81" t="s">
        <v>93</v>
      </c>
      <c r="L22" s="196"/>
      <c r="M22" s="329" t="str">
        <f>("London v National: "&amp;D5&amp;" - Spending Power, working "&amp;D4&amp;" on "&amp;D3)</f>
        <v>London v National: Private rent - Spending Power, working Full-time - 35 hours on Minimum wage</v>
      </c>
      <c r="N22" s="329"/>
      <c r="O22" s="329"/>
      <c r="P22" s="329"/>
      <c r="Q22" s="329"/>
      <c r="R22" s="329"/>
      <c r="S22" s="329"/>
      <c r="T22" s="329"/>
      <c r="U22" s="329"/>
      <c r="V22" s="329"/>
    </row>
    <row r="23" spans="1:24" ht="19.5" customHeight="1">
      <c r="A23" s="84" t="s">
        <v>2</v>
      </c>
      <c r="B23" s="85"/>
      <c r="C23" s="325" t="s">
        <v>10</v>
      </c>
      <c r="D23" s="326"/>
      <c r="E23" s="82">
        <f>ChartData!AS5</f>
        <v>81.46324327934835</v>
      </c>
      <c r="F23" s="82">
        <f>ChartData!AS20</f>
        <v>91.4713071078857</v>
      </c>
      <c r="G23" s="82">
        <f>E23-F23</f>
        <v>-10.00806382853736</v>
      </c>
      <c r="I23" s="198">
        <f>E23*$F$3</f>
        <v>4247.726256708878</v>
      </c>
      <c r="J23" s="198">
        <f aca="true" t="shared" si="4" ref="J23:J34">F23*$F$3</f>
        <v>4769.5752991968975</v>
      </c>
      <c r="K23" s="198">
        <f>I23-J23</f>
        <v>-521.8490424880192</v>
      </c>
      <c r="L23" s="82"/>
      <c r="X23" s="200">
        <f>K23*K23</f>
        <v>272326.42314566247</v>
      </c>
    </row>
    <row r="24" spans="1:24" ht="19.5" customHeight="1">
      <c r="A24" s="84" t="s">
        <v>3</v>
      </c>
      <c r="B24" s="85"/>
      <c r="C24" s="323" t="s">
        <v>11</v>
      </c>
      <c r="D24" s="324"/>
      <c r="E24" s="82">
        <f>ChartData!AS6</f>
        <v>161.89333340062683</v>
      </c>
      <c r="F24" s="82">
        <f>ChartData!AS21</f>
        <v>190.2639281288337</v>
      </c>
      <c r="G24" s="82">
        <f aca="true" t="shared" si="5" ref="G24:G34">E24-F24</f>
        <v>-28.370594728206868</v>
      </c>
      <c r="I24" s="198">
        <f aca="true" t="shared" si="6" ref="I24:I34">E24*$F$3</f>
        <v>8441.580955889827</v>
      </c>
      <c r="J24" s="198">
        <f t="shared" si="4"/>
        <v>9920.904823860616</v>
      </c>
      <c r="K24" s="198">
        <f aca="true" t="shared" si="7" ref="K24:K34">I24-J24</f>
        <v>-1479.3238679707883</v>
      </c>
      <c r="L24" s="82"/>
      <c r="X24" s="200">
        <f aca="true" t="shared" si="8" ref="X24:X34">K24*K24</f>
        <v>2188399.1063480545</v>
      </c>
    </row>
    <row r="25" spans="3:24" ht="19.5" customHeight="1">
      <c r="C25" s="323" t="s">
        <v>14</v>
      </c>
      <c r="D25" s="324"/>
      <c r="E25" s="82">
        <f>ChartData!AS9</f>
        <v>126.27142679978684</v>
      </c>
      <c r="F25" s="82">
        <f>ChartData!AS24</f>
        <v>136.2794906283242</v>
      </c>
      <c r="G25" s="82">
        <f t="shared" si="5"/>
        <v>-10.00806382853736</v>
      </c>
      <c r="I25" s="198">
        <f t="shared" si="6"/>
        <v>6584.152968846029</v>
      </c>
      <c r="J25" s="198">
        <f t="shared" si="4"/>
        <v>7106.002011334048</v>
      </c>
      <c r="K25" s="198">
        <f t="shared" si="7"/>
        <v>-521.8490424880192</v>
      </c>
      <c r="L25" s="82"/>
      <c r="X25" s="200">
        <f t="shared" si="8"/>
        <v>272326.42314566247</v>
      </c>
    </row>
    <row r="26" spans="1:24" ht="19.5" customHeight="1">
      <c r="A26" s="84" t="s">
        <v>4</v>
      </c>
      <c r="B26" s="85"/>
      <c r="C26" s="323" t="s">
        <v>15</v>
      </c>
      <c r="D26" s="324"/>
      <c r="E26" s="82">
        <f>ChartData!AS10</f>
        <v>162.93216397499322</v>
      </c>
      <c r="F26" s="82">
        <f>ChartData!AS25</f>
        <v>189.40467214164056</v>
      </c>
      <c r="G26" s="82">
        <f t="shared" si="5"/>
        <v>-26.472508166647344</v>
      </c>
      <c r="I26" s="198">
        <f t="shared" si="6"/>
        <v>8495.748550124646</v>
      </c>
      <c r="J26" s="198">
        <f t="shared" si="4"/>
        <v>9876.100761671258</v>
      </c>
      <c r="K26" s="198">
        <f t="shared" si="7"/>
        <v>-1380.3522115466112</v>
      </c>
      <c r="L26" s="82"/>
      <c r="X26" s="200">
        <f t="shared" si="8"/>
        <v>1905372.2279216205</v>
      </c>
    </row>
    <row r="27" spans="1:24" ht="19.5" customHeight="1">
      <c r="A27" s="84" t="s">
        <v>5</v>
      </c>
      <c r="B27" s="85"/>
      <c r="C27" s="323" t="s">
        <v>16</v>
      </c>
      <c r="D27" s="324"/>
      <c r="E27" s="82">
        <f>ChartData!AS11</f>
        <v>280.87707613773546</v>
      </c>
      <c r="F27" s="82">
        <f>ChartData!AS26</f>
        <v>290.8989411002573</v>
      </c>
      <c r="G27" s="82">
        <f t="shared" si="5"/>
        <v>-10.021864962521818</v>
      </c>
      <c r="I27" s="198">
        <f t="shared" si="6"/>
        <v>14645.73325575335</v>
      </c>
      <c r="J27" s="198">
        <f t="shared" si="4"/>
        <v>15168.30192879913</v>
      </c>
      <c r="K27" s="198">
        <f t="shared" si="7"/>
        <v>-522.5686730457801</v>
      </c>
      <c r="L27" s="82"/>
      <c r="X27" s="200">
        <f t="shared" si="8"/>
        <v>273078.0180488274</v>
      </c>
    </row>
    <row r="28" spans="1:24" ht="19.5" customHeight="1">
      <c r="A28" s="84" t="s">
        <v>6</v>
      </c>
      <c r="B28" s="85"/>
      <c r="C28" s="323" t="s">
        <v>17</v>
      </c>
      <c r="D28" s="324"/>
      <c r="E28" s="82">
        <f>ChartData!AS12</f>
        <v>224.67328683945198</v>
      </c>
      <c r="F28" s="82">
        <f>ChartData!AS27</f>
        <v>263.0438815676586</v>
      </c>
      <c r="G28" s="82">
        <f t="shared" si="5"/>
        <v>-38.37059472820664</v>
      </c>
      <c r="I28" s="198">
        <f t="shared" si="6"/>
        <v>11715.107099485711</v>
      </c>
      <c r="J28" s="198">
        <f t="shared" si="4"/>
        <v>13715.859538885057</v>
      </c>
      <c r="K28" s="198">
        <f t="shared" si="7"/>
        <v>-2000.7524393993463</v>
      </c>
      <c r="L28" s="82"/>
      <c r="X28" s="200">
        <f t="shared" si="8"/>
        <v>4003010.3237624345</v>
      </c>
    </row>
    <row r="29" spans="1:24" ht="19.5" customHeight="1">
      <c r="A29" s="87" t="s">
        <v>7</v>
      </c>
      <c r="B29" s="85"/>
      <c r="C29" s="323" t="s">
        <v>18</v>
      </c>
      <c r="D29" s="324"/>
      <c r="E29" s="82">
        <f>ChartData!AS13</f>
        <v>280.8807397910942</v>
      </c>
      <c r="F29" s="82">
        <f>ChartData!AS28</f>
        <v>290.89017927975704</v>
      </c>
      <c r="G29" s="82">
        <f t="shared" si="5"/>
        <v>-10.00943948866285</v>
      </c>
      <c r="I29" s="198">
        <f t="shared" si="6"/>
        <v>14645.924289107055</v>
      </c>
      <c r="J29" s="198">
        <f t="shared" si="4"/>
        <v>15167.845062444474</v>
      </c>
      <c r="K29" s="198">
        <f t="shared" si="7"/>
        <v>-521.9207733374187</v>
      </c>
      <c r="L29" s="82"/>
      <c r="X29" s="200">
        <f t="shared" si="8"/>
        <v>272401.2936411292</v>
      </c>
    </row>
    <row r="30" spans="3:24" ht="19.5" customHeight="1">
      <c r="C30" s="323" t="s">
        <v>19</v>
      </c>
      <c r="D30" s="324"/>
      <c r="E30" s="82">
        <f>ChartData!AS14</f>
        <v>224.67695049281065</v>
      </c>
      <c r="F30" s="82">
        <f>ChartData!AS29</f>
        <v>263.03511974715843</v>
      </c>
      <c r="G30" s="82">
        <f t="shared" si="5"/>
        <v>-38.358169254347786</v>
      </c>
      <c r="I30" s="198">
        <f t="shared" si="6"/>
        <v>11715.298132839413</v>
      </c>
      <c r="J30" s="198">
        <f t="shared" si="4"/>
        <v>13715.402672530405</v>
      </c>
      <c r="K30" s="198">
        <f t="shared" si="7"/>
        <v>-2000.1045396909922</v>
      </c>
      <c r="L30" s="82"/>
      <c r="X30" s="200">
        <f t="shared" si="8"/>
        <v>4000418.169692516</v>
      </c>
    </row>
    <row r="31" spans="1:24" ht="19.5" customHeight="1">
      <c r="A31" s="84" t="s">
        <v>49</v>
      </c>
      <c r="B31" s="85"/>
      <c r="C31" s="323" t="s">
        <v>20</v>
      </c>
      <c r="D31" s="324"/>
      <c r="E31" s="82">
        <f>ChartData!AS15</f>
        <v>347.7751417890956</v>
      </c>
      <c r="F31" s="82">
        <f>ChartData!AS30</f>
        <v>357.78458127775843</v>
      </c>
      <c r="G31" s="82">
        <f t="shared" si="5"/>
        <v>-10.00943948866285</v>
      </c>
      <c r="I31" s="198">
        <f t="shared" si="6"/>
        <v>18133.9895361457</v>
      </c>
      <c r="J31" s="198">
        <f t="shared" si="4"/>
        <v>18655.91030948312</v>
      </c>
      <c r="K31" s="198">
        <f t="shared" si="7"/>
        <v>-521.9207733374205</v>
      </c>
      <c r="L31" s="82"/>
      <c r="X31" s="200">
        <f t="shared" si="8"/>
        <v>272401.2936411311</v>
      </c>
    </row>
    <row r="32" spans="1:24" ht="19.5" customHeight="1">
      <c r="A32" s="84" t="s">
        <v>50</v>
      </c>
      <c r="B32" s="85"/>
      <c r="C32" s="323" t="s">
        <v>21</v>
      </c>
      <c r="D32" s="324"/>
      <c r="E32" s="82">
        <f>ChartData!AS16</f>
        <v>144.03958269683585</v>
      </c>
      <c r="F32" s="82">
        <f>ChartData!AS31</f>
        <v>252.52311533618354</v>
      </c>
      <c r="G32" s="82">
        <f t="shared" si="5"/>
        <v>-108.48353263934769</v>
      </c>
      <c r="H32" s="193"/>
      <c r="I32" s="198">
        <f t="shared" si="6"/>
        <v>7510.63538347787</v>
      </c>
      <c r="J32" s="198">
        <f t="shared" si="4"/>
        <v>13167.276728243856</v>
      </c>
      <c r="K32" s="198">
        <f t="shared" si="7"/>
        <v>-5656.641344765986</v>
      </c>
      <c r="L32" s="82"/>
      <c r="X32" s="200">
        <f t="shared" si="8"/>
        <v>31997591.303315945</v>
      </c>
    </row>
    <row r="33" spans="3:24" ht="19.5" customHeight="1">
      <c r="C33" s="323" t="s">
        <v>22</v>
      </c>
      <c r="D33" s="324"/>
      <c r="E33" s="82">
        <f>ChartData!AS17</f>
        <v>411.4195437870971</v>
      </c>
      <c r="F33" s="82">
        <f>ChartData!AS32</f>
        <v>421.42898327575983</v>
      </c>
      <c r="G33" s="82">
        <f t="shared" si="5"/>
        <v>-10.009439488662736</v>
      </c>
      <c r="I33" s="198">
        <f t="shared" si="6"/>
        <v>21452.590497470064</v>
      </c>
      <c r="J33" s="198">
        <f t="shared" si="4"/>
        <v>21974.511270807478</v>
      </c>
      <c r="K33" s="198">
        <f t="shared" si="7"/>
        <v>-521.9207733374133</v>
      </c>
      <c r="L33" s="82"/>
      <c r="X33" s="200">
        <f t="shared" si="8"/>
        <v>272401.2936411235</v>
      </c>
    </row>
    <row r="34" spans="3:24" ht="19.5" customHeight="1" thickBot="1">
      <c r="C34" s="334" t="s">
        <v>23</v>
      </c>
      <c r="D34" s="335"/>
      <c r="E34" s="83">
        <f>ChartData!AS18</f>
        <v>60.15221490086071</v>
      </c>
      <c r="F34" s="83">
        <f>ChartData!AS33</f>
        <v>198.03574754020838</v>
      </c>
      <c r="G34" s="83">
        <f t="shared" si="5"/>
        <v>-137.88353263934766</v>
      </c>
      <c r="I34" s="199">
        <f t="shared" si="6"/>
        <v>3136.508348402023</v>
      </c>
      <c r="J34" s="199">
        <f t="shared" si="4"/>
        <v>10326.149693168009</v>
      </c>
      <c r="K34" s="199">
        <f t="shared" si="7"/>
        <v>-7189.641344765985</v>
      </c>
      <c r="L34" s="195"/>
      <c r="X34" s="200">
        <f t="shared" si="8"/>
        <v>51690942.66636845</v>
      </c>
    </row>
    <row r="35" ht="19.5" customHeight="1"/>
    <row r="36" ht="19.5" customHeight="1" thickBot="1">
      <c r="C36" s="85"/>
    </row>
    <row r="37" spans="3:22" ht="36" customHeight="1" thickBot="1">
      <c r="C37" s="327" t="s">
        <v>111</v>
      </c>
      <c r="D37" s="328"/>
      <c r="E37" s="80" t="s">
        <v>44</v>
      </c>
      <c r="F37" s="81" t="s">
        <v>45</v>
      </c>
      <c r="G37" s="81" t="s">
        <v>41</v>
      </c>
      <c r="I37" s="80" t="s">
        <v>44</v>
      </c>
      <c r="J37" s="81" t="s">
        <v>45</v>
      </c>
      <c r="K37" s="81" t="s">
        <v>93</v>
      </c>
      <c r="L37" s="196"/>
      <c r="M37" s="329" t="str">
        <f>("London v National: "&amp;D5&amp;" - Change in Spending Power, difference between out of work and in work if working "&amp;D4&amp;" on "&amp;D3)</f>
        <v>London v National: Private rent - Change in Spending Power, difference between out of work and in work if working Full-time - 35 hours on Minimum wage</v>
      </c>
      <c r="N37" s="329"/>
      <c r="O37" s="329"/>
      <c r="P37" s="329"/>
      <c r="Q37" s="329"/>
      <c r="R37" s="329"/>
      <c r="S37" s="329"/>
      <c r="T37" s="329"/>
      <c r="U37" s="329"/>
      <c r="V37" s="329"/>
    </row>
    <row r="38" spans="3:24" ht="19.5" customHeight="1">
      <c r="C38" s="325" t="s">
        <v>10</v>
      </c>
      <c r="D38" s="326"/>
      <c r="E38" s="82">
        <f>E23-NoWorktoWorking!C7</f>
        <v>18.39954812779547</v>
      </c>
      <c r="F38" s="82">
        <f>F23-NoWorktoWorking!C16</f>
        <v>28.400301130956677</v>
      </c>
      <c r="G38" s="82">
        <f>E38-F38</f>
        <v>-10.000753003161208</v>
      </c>
      <c r="I38" s="198">
        <f aca="true" t="shared" si="9" ref="I38:I45">E38*$F$3</f>
        <v>959.4050095207638</v>
      </c>
      <c r="J38" s="198">
        <f aca="true" t="shared" si="10" ref="J38:J45">F38*$F$3</f>
        <v>1480.8728446855982</v>
      </c>
      <c r="K38" s="198">
        <f aca="true" t="shared" si="11" ref="K38:K45">I38-J38</f>
        <v>-521.4678351648345</v>
      </c>
      <c r="L38" s="82"/>
      <c r="X38" s="200">
        <f aca="true" t="shared" si="12" ref="X38:X45">K38*K38</f>
        <v>271928.70311149897</v>
      </c>
    </row>
    <row r="39" spans="3:24" ht="19.5" customHeight="1">
      <c r="C39" s="323" t="s">
        <v>11</v>
      </c>
      <c r="D39" s="324"/>
      <c r="E39" s="82">
        <f>E24-NoWorktoWorking!C8</f>
        <v>-40.95612123038464</v>
      </c>
      <c r="F39" s="82">
        <f>F24-NoWorktoWorking!C17</f>
        <v>-12.606638461538324</v>
      </c>
      <c r="G39" s="82">
        <f aca="true" t="shared" si="13" ref="G39:G45">E39-F39</f>
        <v>-28.349482768846315</v>
      </c>
      <c r="I39" s="198">
        <f t="shared" si="9"/>
        <v>-2135.569178441485</v>
      </c>
      <c r="J39" s="198">
        <f t="shared" si="10"/>
        <v>-657.3461483516412</v>
      </c>
      <c r="K39" s="198">
        <f t="shared" si="11"/>
        <v>-1478.2230300898436</v>
      </c>
      <c r="L39" s="82"/>
      <c r="X39" s="200">
        <f t="shared" si="12"/>
        <v>2185143.3266879986</v>
      </c>
    </row>
    <row r="40" spans="3:24" ht="19.5" customHeight="1">
      <c r="C40" s="323" t="s">
        <v>14</v>
      </c>
      <c r="D40" s="324"/>
      <c r="E40" s="82">
        <f>E25-NoWorktoWorking!C9</f>
        <v>25.965178209408975</v>
      </c>
      <c r="F40" s="82">
        <f>F25-NoWorktoWorking!C18</f>
        <v>35.965931212570155</v>
      </c>
      <c r="G40" s="82">
        <f t="shared" si="13"/>
        <v>-10.00075300316118</v>
      </c>
      <c r="I40" s="198">
        <f t="shared" si="9"/>
        <v>1353.8985780620394</v>
      </c>
      <c r="J40" s="198">
        <f t="shared" si="10"/>
        <v>1875.3664132268725</v>
      </c>
      <c r="K40" s="198">
        <f t="shared" si="11"/>
        <v>-521.4678351648331</v>
      </c>
      <c r="L40" s="82"/>
      <c r="X40" s="200">
        <f t="shared" si="12"/>
        <v>271928.70311149757</v>
      </c>
    </row>
    <row r="41" spans="3:24" ht="19.5" customHeight="1">
      <c r="C41" s="323" t="s">
        <v>15</v>
      </c>
      <c r="D41" s="324"/>
      <c r="E41" s="82">
        <f>E26-NoWorktoWorking!C9</f>
        <v>62.625915384615354</v>
      </c>
      <c r="F41" s="82">
        <f>F26-NoWorktoWorking!C18</f>
        <v>89.09111272588652</v>
      </c>
      <c r="G41" s="82">
        <f t="shared" si="13"/>
        <v>-26.465197341271164</v>
      </c>
      <c r="I41" s="198">
        <f t="shared" si="9"/>
        <v>3265.494159340658</v>
      </c>
      <c r="J41" s="198">
        <f t="shared" si="10"/>
        <v>4645.465163564083</v>
      </c>
      <c r="K41" s="198">
        <f t="shared" si="11"/>
        <v>-1379.971004223425</v>
      </c>
      <c r="L41" s="82"/>
      <c r="X41" s="200">
        <f t="shared" si="12"/>
        <v>1904319.9724974083</v>
      </c>
    </row>
    <row r="42" spans="3:24" ht="19.5" customHeight="1">
      <c r="C42" s="323" t="s">
        <v>16</v>
      </c>
      <c r="D42" s="324"/>
      <c r="E42" s="82">
        <f>E27-NoWorktoWorking!C11</f>
        <v>40.78506806789895</v>
      </c>
      <c r="F42" s="82">
        <f>F27-NoWorktoWorking!C20</f>
        <v>50.78582107106021</v>
      </c>
      <c r="G42" s="82">
        <f t="shared" si="13"/>
        <v>-10.000753003161265</v>
      </c>
      <c r="I42" s="198">
        <f t="shared" si="9"/>
        <v>2126.6499778261596</v>
      </c>
      <c r="J42" s="198">
        <f t="shared" si="10"/>
        <v>2648.1178129909968</v>
      </c>
      <c r="K42" s="198">
        <f t="shared" si="11"/>
        <v>-521.4678351648372</v>
      </c>
      <c r="L42" s="82"/>
      <c r="X42" s="200">
        <f t="shared" si="12"/>
        <v>271928.7031115018</v>
      </c>
    </row>
    <row r="43" spans="3:24" ht="19.5" customHeight="1">
      <c r="C43" s="323" t="s">
        <v>17</v>
      </c>
      <c r="D43" s="324"/>
      <c r="E43" s="82">
        <f>E28-NoWorktoWorking!C11</f>
        <v>-15.418721230384534</v>
      </c>
      <c r="F43" s="82">
        <f>F28-NoWorktoWorking!C20</f>
        <v>22.930761538461553</v>
      </c>
      <c r="G43" s="82">
        <f t="shared" si="13"/>
        <v>-38.34948276884609</v>
      </c>
      <c r="I43" s="198">
        <f t="shared" si="9"/>
        <v>-803.9761784414793</v>
      </c>
      <c r="J43" s="198">
        <f t="shared" si="10"/>
        <v>1195.6754230769238</v>
      </c>
      <c r="K43" s="198">
        <f t="shared" si="11"/>
        <v>-1999.6516015184031</v>
      </c>
      <c r="L43" s="82"/>
      <c r="X43" s="200">
        <f t="shared" si="12"/>
        <v>3998606.5274551148</v>
      </c>
    </row>
    <row r="44" spans="3:24" ht="19.5" customHeight="1">
      <c r="C44" s="323" t="s">
        <v>18</v>
      </c>
      <c r="D44" s="324"/>
      <c r="E44" s="82">
        <f>E29-NoWorktoWorking!C11</f>
        <v>40.788731721257676</v>
      </c>
      <c r="F44" s="82">
        <f>F29-NoWorktoWorking!C20</f>
        <v>50.77705925055997</v>
      </c>
      <c r="G44" s="82">
        <f t="shared" si="13"/>
        <v>-9.988327529302296</v>
      </c>
      <c r="I44" s="198">
        <f t="shared" si="9"/>
        <v>2126.841011179865</v>
      </c>
      <c r="J44" s="198">
        <f t="shared" si="10"/>
        <v>2647.6609466363416</v>
      </c>
      <c r="K44" s="198">
        <f t="shared" si="11"/>
        <v>-520.8199354564767</v>
      </c>
      <c r="L44" s="82"/>
      <c r="X44" s="200">
        <f t="shared" si="12"/>
        <v>271253.4051688886</v>
      </c>
    </row>
    <row r="45" spans="3:24" ht="19.5" customHeight="1" thickBot="1">
      <c r="C45" s="334" t="s">
        <v>19</v>
      </c>
      <c r="D45" s="335"/>
      <c r="E45" s="83">
        <f>E30-NoWorktoWorking!C11</f>
        <v>-15.415057577025863</v>
      </c>
      <c r="F45" s="83">
        <f>F30-NoWorktoWorking!C20</f>
        <v>22.92199971796137</v>
      </c>
      <c r="G45" s="83">
        <f t="shared" si="13"/>
        <v>-38.33705729498723</v>
      </c>
      <c r="I45" s="199">
        <f t="shared" si="9"/>
        <v>-803.7851450877772</v>
      </c>
      <c r="J45" s="199">
        <f t="shared" si="10"/>
        <v>1195.2185567222716</v>
      </c>
      <c r="K45" s="199">
        <f t="shared" si="11"/>
        <v>-1999.0037018100488</v>
      </c>
      <c r="L45" s="195"/>
      <c r="X45" s="200">
        <f t="shared" si="12"/>
        <v>3996015.7998502785</v>
      </c>
    </row>
    <row r="46" ht="19.5" customHeight="1"/>
    <row r="47" spans="3:12" ht="19.5" customHeight="1">
      <c r="C47" s="321"/>
      <c r="D47" s="322"/>
      <c r="E47" s="322"/>
      <c r="F47" s="322"/>
      <c r="G47" s="175"/>
      <c r="K47" s="175"/>
      <c r="L47" s="197"/>
    </row>
    <row r="48" spans="3:20" ht="19.5" customHeight="1">
      <c r="C48" s="85"/>
      <c r="Q48" s="319" t="s">
        <v>56</v>
      </c>
      <c r="R48" s="320"/>
      <c r="S48" s="320"/>
      <c r="T48" s="320"/>
    </row>
    <row r="49" ht="19.5" customHeight="1">
      <c r="C49" s="85"/>
    </row>
    <row r="50" ht="19.5" customHeight="1">
      <c r="C50" s="85"/>
    </row>
    <row r="51" ht="19.5" customHeight="1"/>
    <row r="52" ht="19.5" customHeight="1"/>
    <row r="53" ht="19.5" customHeight="1">
      <c r="Q53" s="86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sheet="1" objects="1" scenarios="1"/>
  <mergeCells count="40">
    <mergeCell ref="C38:D38"/>
    <mergeCell ref="C39:D39"/>
    <mergeCell ref="C40:D40"/>
    <mergeCell ref="C41:D41"/>
    <mergeCell ref="C42:D42"/>
    <mergeCell ref="C43:D43"/>
    <mergeCell ref="C44:D44"/>
    <mergeCell ref="C45:D45"/>
    <mergeCell ref="C33:D33"/>
    <mergeCell ref="C34:D34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C13:D13"/>
    <mergeCell ref="M7:V7"/>
    <mergeCell ref="C7:D7"/>
    <mergeCell ref="C22:D22"/>
    <mergeCell ref="M22:V22"/>
    <mergeCell ref="C16:D16"/>
    <mergeCell ref="C17:D17"/>
    <mergeCell ref="C18:D18"/>
    <mergeCell ref="C19:D19"/>
    <mergeCell ref="C8:D8"/>
    <mergeCell ref="C9:D9"/>
    <mergeCell ref="Q48:T48"/>
    <mergeCell ref="C47:F47"/>
    <mergeCell ref="C14:D14"/>
    <mergeCell ref="C15:D15"/>
    <mergeCell ref="C23:D23"/>
    <mergeCell ref="C24:D24"/>
    <mergeCell ref="C25:D25"/>
    <mergeCell ref="C26:D26"/>
    <mergeCell ref="C37:D37"/>
    <mergeCell ref="M37:V37"/>
  </mergeCells>
  <conditionalFormatting sqref="K3 K8:K19">
    <cfRule type="expression" priority="1" dxfId="2" stopIfTrue="1">
      <formula>K3&gt;=LARGE($K$8:$K$19,1)</formula>
    </cfRule>
    <cfRule type="expression" priority="2" dxfId="1" stopIfTrue="1">
      <formula>K3&gt;=LARGE($K$8:$K$19,2)</formula>
    </cfRule>
    <cfRule type="expression" priority="3" dxfId="0" stopIfTrue="1">
      <formula>K3&gt;=LARGE($K$8:$K$19,3)</formula>
    </cfRule>
  </conditionalFormatting>
  <conditionalFormatting sqref="K23:K34">
    <cfRule type="expression" priority="4" dxfId="2" stopIfTrue="1">
      <formula>X23&gt;=LARGE($X$23:$X$34,1)</formula>
    </cfRule>
    <cfRule type="expression" priority="5" dxfId="1" stopIfTrue="1">
      <formula>X23&gt;=LARGE($X$23:$X$34,2)</formula>
    </cfRule>
    <cfRule type="expression" priority="6" dxfId="0" stopIfTrue="1">
      <formula>X23&gt;=LARGE($X$23:$X$34,3)</formula>
    </cfRule>
  </conditionalFormatting>
  <conditionalFormatting sqref="K38:K45">
    <cfRule type="expression" priority="7" dxfId="2" stopIfTrue="1">
      <formula>X38&gt;=LARGE($X$38:$X$45,1)</formula>
    </cfRule>
    <cfRule type="expression" priority="8" dxfId="1" stopIfTrue="1">
      <formula>X38&gt;=LARGE($X$38:$X$45,2)</formula>
    </cfRule>
    <cfRule type="expression" priority="9" dxfId="0" stopIfTrue="1">
      <formula>X38&gt;=LARGE($X$38:$X$45,3)</formula>
    </cfRule>
  </conditionalFormatting>
  <dataValidations count="3">
    <dataValidation type="list" allowBlank="1" showInputMessage="1" showErrorMessage="1" sqref="D3">
      <formula1>$A$21:$A$24</formula1>
    </dataValidation>
    <dataValidation type="list" allowBlank="1" showInputMessage="1" showErrorMessage="1" sqref="D4">
      <formula1>$A$26:$A$29</formula1>
    </dataValidation>
    <dataValidation type="list" allowBlank="1" showInputMessage="1" showErrorMessage="1" sqref="D5">
      <formula1>$A$31:$A$32</formula1>
    </dataValidation>
  </dataValidations>
  <hyperlinks>
    <hyperlink ref="A1" location="Index!A1" display="Index"/>
    <hyperlink ref="C1" location="Index!A1" display="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8">
      <selection activeCell="J37" sqref="J37"/>
    </sheetView>
  </sheetViews>
  <sheetFormatPr defaultColWidth="9.140625" defaultRowHeight="12.75"/>
  <cols>
    <col min="1" max="1" width="29.7109375" style="12" customWidth="1"/>
    <col min="2" max="2" width="13.00390625" style="12" customWidth="1"/>
    <col min="3" max="6" width="9.421875" style="11" customWidth="1"/>
    <col min="7" max="7" width="1.421875" style="11" customWidth="1"/>
    <col min="8" max="11" width="9.421875" style="11" customWidth="1"/>
    <col min="12" max="12" width="2.7109375" style="29" customWidth="1"/>
    <col min="13" max="15" width="9.140625" style="11" customWidth="1"/>
    <col min="16" max="16384" width="9.140625" style="12" customWidth="1"/>
  </cols>
  <sheetData>
    <row r="1" spans="1:16" ht="24" customHeight="1">
      <c r="A1" s="111" t="s">
        <v>55</v>
      </c>
      <c r="B1" s="111"/>
      <c r="H1" s="29"/>
      <c r="L1" s="11"/>
      <c r="M1" s="29"/>
      <c r="P1" s="36"/>
    </row>
    <row r="2" spans="1:2" ht="15.75">
      <c r="A2" s="118" t="s">
        <v>60</v>
      </c>
      <c r="B2" s="118"/>
    </row>
    <row r="3" spans="1:7" s="19" customFormat="1" ht="17.25" customHeight="1">
      <c r="A3" s="120"/>
      <c r="B3" s="120"/>
      <c r="C3" s="342" t="s">
        <v>44</v>
      </c>
      <c r="D3" s="343"/>
      <c r="E3" s="342" t="s">
        <v>45</v>
      </c>
      <c r="F3" s="344"/>
      <c r="G3" s="20"/>
    </row>
    <row r="4" spans="1:7" s="16" customFormat="1" ht="15" customHeight="1">
      <c r="A4" s="176" t="s">
        <v>67</v>
      </c>
      <c r="B4" s="121"/>
      <c r="C4" s="122" t="s">
        <v>69</v>
      </c>
      <c r="D4" s="123" t="s">
        <v>70</v>
      </c>
      <c r="E4" s="122" t="s">
        <v>69</v>
      </c>
      <c r="F4" s="124" t="s">
        <v>70</v>
      </c>
      <c r="G4" s="20"/>
    </row>
    <row r="5" spans="1:15" ht="15" customHeight="1">
      <c r="A5" s="125" t="s">
        <v>59</v>
      </c>
      <c r="B5" s="125"/>
      <c r="C5" s="136">
        <v>200.05625406835097</v>
      </c>
      <c r="D5" s="23">
        <v>73.89554166666649</v>
      </c>
      <c r="E5" s="138">
        <v>127.2225586275902</v>
      </c>
      <c r="F5" s="139">
        <v>59.1539719860898</v>
      </c>
      <c r="G5" s="1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5" t="s">
        <v>58</v>
      </c>
      <c r="B6" s="125"/>
      <c r="C6" s="136">
        <v>229.30359875081356</v>
      </c>
      <c r="D6" s="23">
        <v>84.69874493410276</v>
      </c>
      <c r="E6" s="136">
        <v>146.7261021760684</v>
      </c>
      <c r="F6" s="126">
        <v>68.22242714955922</v>
      </c>
      <c r="G6" s="1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27" t="s">
        <v>57</v>
      </c>
      <c r="B7" s="127"/>
      <c r="C7" s="137">
        <v>265.8999350974548</v>
      </c>
      <c r="D7" s="119">
        <v>98.21647328478267</v>
      </c>
      <c r="E7" s="137">
        <v>164.5548639965686</v>
      </c>
      <c r="F7" s="128">
        <v>76.51216828236977</v>
      </c>
      <c r="G7" s="112"/>
      <c r="H7" s="12"/>
      <c r="I7" s="12"/>
      <c r="J7" s="12"/>
      <c r="K7" s="12"/>
      <c r="L7" s="12"/>
      <c r="M7" s="12"/>
      <c r="N7" s="12"/>
      <c r="O7" s="12"/>
    </row>
    <row r="8" spans="1:15" ht="12.75">
      <c r="A8" s="345" t="s">
        <v>31</v>
      </c>
      <c r="B8" s="345"/>
      <c r="C8" s="346"/>
      <c r="D8" s="346"/>
      <c r="E8" s="346"/>
      <c r="F8" s="346"/>
      <c r="G8" s="112"/>
      <c r="H8" s="12"/>
      <c r="I8" s="12"/>
      <c r="J8" s="12"/>
      <c r="K8" s="12"/>
      <c r="L8" s="12"/>
      <c r="M8" s="12"/>
      <c r="N8" s="12"/>
      <c r="O8" s="12"/>
    </row>
    <row r="9" spans="1:15" ht="12.75">
      <c r="A9" s="114"/>
      <c r="B9" s="114"/>
      <c r="C9" s="112"/>
      <c r="D9" s="112"/>
      <c r="E9" s="112"/>
      <c r="F9" s="112"/>
      <c r="G9" s="112"/>
      <c r="H9" s="12"/>
      <c r="I9" s="12"/>
      <c r="J9" s="12"/>
      <c r="K9" s="12"/>
      <c r="L9" s="12"/>
      <c r="M9" s="12"/>
      <c r="N9" s="12"/>
      <c r="O9" s="12"/>
    </row>
    <row r="10" spans="1:2" ht="21.75" customHeight="1">
      <c r="A10" s="118" t="s">
        <v>61</v>
      </c>
      <c r="B10" s="118"/>
    </row>
    <row r="11" spans="1:15" s="113" customFormat="1" ht="15.75" customHeight="1">
      <c r="A11" s="115"/>
      <c r="B11" s="115"/>
      <c r="C11" s="336" t="s">
        <v>44</v>
      </c>
      <c r="D11" s="337"/>
      <c r="E11" s="337"/>
      <c r="F11" s="338"/>
      <c r="G11" s="20"/>
      <c r="H11" s="336" t="s">
        <v>45</v>
      </c>
      <c r="I11" s="337"/>
      <c r="J11" s="337"/>
      <c r="K11" s="338"/>
      <c r="L11" s="116"/>
      <c r="M11" s="117"/>
      <c r="N11" s="117"/>
      <c r="O11" s="117"/>
    </row>
    <row r="12" spans="1:11" ht="27" customHeight="1">
      <c r="A12" s="177" t="s">
        <v>68</v>
      </c>
      <c r="B12" s="155"/>
      <c r="C12" s="135" t="s">
        <v>4</v>
      </c>
      <c r="D12" s="135" t="s">
        <v>5</v>
      </c>
      <c r="E12" s="135" t="s">
        <v>6</v>
      </c>
      <c r="F12" s="135" t="s">
        <v>7</v>
      </c>
      <c r="G12" s="30"/>
      <c r="H12" s="129" t="s">
        <v>4</v>
      </c>
      <c r="I12" s="129" t="s">
        <v>5</v>
      </c>
      <c r="J12" s="129" t="s">
        <v>6</v>
      </c>
      <c r="K12" s="129" t="s">
        <v>7</v>
      </c>
    </row>
    <row r="13" spans="1:11" ht="12.75">
      <c r="A13" s="156" t="s">
        <v>10</v>
      </c>
      <c r="B13" s="156"/>
      <c r="C13" s="130">
        <v>26.76</v>
      </c>
      <c r="D13" s="131">
        <v>26.76</v>
      </c>
      <c r="E13" s="131">
        <v>26.76</v>
      </c>
      <c r="F13" s="132">
        <v>26.76</v>
      </c>
      <c r="G13" s="17"/>
      <c r="H13" s="130">
        <v>16.76</v>
      </c>
      <c r="I13" s="131">
        <v>16.76</v>
      </c>
      <c r="J13" s="131">
        <v>16.76</v>
      </c>
      <c r="K13" s="132">
        <v>16.76</v>
      </c>
    </row>
    <row r="14" spans="1:11" ht="12.75">
      <c r="A14" s="157" t="s">
        <v>63</v>
      </c>
      <c r="B14" s="157"/>
      <c r="C14" s="152">
        <v>53.52</v>
      </c>
      <c r="D14" s="153">
        <v>53.52</v>
      </c>
      <c r="E14" s="153">
        <v>53.52</v>
      </c>
      <c r="F14" s="154">
        <v>53.52</v>
      </c>
      <c r="G14" s="17"/>
      <c r="H14" s="133">
        <v>33.52</v>
      </c>
      <c r="I14" s="24">
        <v>33.52</v>
      </c>
      <c r="J14" s="24">
        <v>33.52</v>
      </c>
      <c r="K14" s="134">
        <v>33.52</v>
      </c>
    </row>
    <row r="15" spans="1:11" ht="12.75">
      <c r="A15" s="157" t="s">
        <v>62</v>
      </c>
      <c r="B15" s="157"/>
      <c r="C15" s="152">
        <v>76.68</v>
      </c>
      <c r="D15" s="150">
        <v>159.88</v>
      </c>
      <c r="E15" s="146">
        <v>226.44</v>
      </c>
      <c r="F15" s="145">
        <v>317.96</v>
      </c>
      <c r="G15" s="17"/>
      <c r="H15" s="152">
        <v>56.6</v>
      </c>
      <c r="I15" s="150">
        <v>123</v>
      </c>
      <c r="J15" s="150">
        <v>176.12</v>
      </c>
      <c r="K15" s="148">
        <v>249.16</v>
      </c>
    </row>
    <row r="16" spans="1:11" ht="12.75">
      <c r="A16" s="157" t="s">
        <v>64</v>
      </c>
      <c r="B16" s="157"/>
      <c r="C16" s="151">
        <v>103.44</v>
      </c>
      <c r="D16" s="150">
        <v>186.64</v>
      </c>
      <c r="E16" s="146">
        <v>253.2</v>
      </c>
      <c r="F16" s="145">
        <v>344.72</v>
      </c>
      <c r="G16" s="17"/>
      <c r="H16" s="152">
        <v>73.36</v>
      </c>
      <c r="I16" s="150">
        <v>139.76</v>
      </c>
      <c r="J16" s="150">
        <v>192.88</v>
      </c>
      <c r="K16" s="148">
        <v>265.92</v>
      </c>
    </row>
    <row r="17" spans="1:11" ht="12.75">
      <c r="A17" s="157" t="s">
        <v>65</v>
      </c>
      <c r="B17" s="157"/>
      <c r="C17" s="151">
        <v>128.4</v>
      </c>
      <c r="D17" s="146">
        <v>253.2</v>
      </c>
      <c r="E17" s="144">
        <v>353.04</v>
      </c>
      <c r="F17" s="142">
        <v>490.32</v>
      </c>
      <c r="G17" s="17"/>
      <c r="H17" s="152">
        <v>93.28</v>
      </c>
      <c r="I17" s="150">
        <v>192.88</v>
      </c>
      <c r="J17" s="146">
        <v>272.56</v>
      </c>
      <c r="K17" s="145">
        <v>382.12</v>
      </c>
    </row>
    <row r="18" spans="1:11" ht="12.75">
      <c r="A18" s="158" t="s">
        <v>66</v>
      </c>
      <c r="B18" s="158"/>
      <c r="C18" s="149">
        <v>153.36</v>
      </c>
      <c r="D18" s="143">
        <v>319.76</v>
      </c>
      <c r="E18" s="141">
        <v>452.88</v>
      </c>
      <c r="F18" s="140">
        <v>635.92</v>
      </c>
      <c r="G18" s="17"/>
      <c r="H18" s="149">
        <v>113.2</v>
      </c>
      <c r="I18" s="147">
        <v>246</v>
      </c>
      <c r="J18" s="143">
        <v>352.24</v>
      </c>
      <c r="K18" s="140">
        <v>498.32</v>
      </c>
    </row>
    <row r="19" spans="1:11" ht="6" customHeight="1">
      <c r="A19" s="159"/>
      <c r="B19" s="159"/>
      <c r="C19" s="17"/>
      <c r="D19" s="160"/>
      <c r="E19" s="160"/>
      <c r="F19" s="160"/>
      <c r="G19" s="17"/>
      <c r="H19" s="17"/>
      <c r="I19" s="160"/>
      <c r="J19" s="160"/>
      <c r="K19" s="160"/>
    </row>
    <row r="20" spans="1:6" ht="12" customHeight="1">
      <c r="A20" s="178" t="s">
        <v>71</v>
      </c>
      <c r="B20" s="161" t="s">
        <v>72</v>
      </c>
      <c r="C20" s="162" t="s">
        <v>73</v>
      </c>
      <c r="D20" s="163" t="s">
        <v>74</v>
      </c>
      <c r="E20" s="164" t="s">
        <v>75</v>
      </c>
      <c r="F20" s="165" t="s">
        <v>76</v>
      </c>
    </row>
    <row r="21" spans="1:6" ht="12.75">
      <c r="A21" s="345" t="s">
        <v>31</v>
      </c>
      <c r="B21" s="345"/>
      <c r="C21" s="346"/>
      <c r="D21" s="346"/>
      <c r="E21" s="346"/>
      <c r="F21" s="346"/>
    </row>
    <row r="24" spans="1:4" ht="12.75">
      <c r="A24" s="179" t="s">
        <v>80</v>
      </c>
      <c r="B24" s="166"/>
      <c r="C24" s="166"/>
      <c r="D24" s="167"/>
    </row>
    <row r="25" spans="1:4" ht="12.75">
      <c r="A25" s="180"/>
      <c r="B25" s="171"/>
      <c r="C25" s="172" t="s">
        <v>81</v>
      </c>
      <c r="D25" s="172" t="s">
        <v>82</v>
      </c>
    </row>
    <row r="26" spans="1:4" ht="12.75">
      <c r="A26" s="339" t="s">
        <v>77</v>
      </c>
      <c r="B26" s="170" t="s">
        <v>78</v>
      </c>
      <c r="C26" s="168">
        <v>12.57</v>
      </c>
      <c r="D26" s="168">
        <v>7.98</v>
      </c>
    </row>
    <row r="27" spans="1:4" ht="12.75">
      <c r="A27" s="340"/>
      <c r="B27" s="169" t="s">
        <v>79</v>
      </c>
      <c r="C27" s="168">
        <v>7.91</v>
      </c>
      <c r="D27" s="168">
        <v>6.3</v>
      </c>
    </row>
    <row r="28" spans="1:4" ht="12.75">
      <c r="A28" s="341" t="s">
        <v>44</v>
      </c>
      <c r="B28" s="169" t="s">
        <v>78</v>
      </c>
      <c r="C28" s="168">
        <v>16.83</v>
      </c>
      <c r="D28" s="168">
        <v>9.49</v>
      </c>
    </row>
    <row r="29" spans="1:4" ht="12.75">
      <c r="A29" s="340"/>
      <c r="B29" s="169" t="s">
        <v>79</v>
      </c>
      <c r="C29" s="173">
        <v>8.32</v>
      </c>
      <c r="D29" s="174">
        <v>6.7</v>
      </c>
    </row>
    <row r="30" spans="3:5" ht="12.75">
      <c r="C30" s="181">
        <f>C29-C27</f>
        <v>0.41000000000000014</v>
      </c>
      <c r="D30" s="181">
        <f>D29-D27</f>
        <v>0.40000000000000036</v>
      </c>
      <c r="E30" s="11">
        <f>100/D29*D30</f>
        <v>5.970149253731349</v>
      </c>
    </row>
    <row r="31" spans="1:3" ht="12.75">
      <c r="A31" s="182" t="s">
        <v>84</v>
      </c>
      <c r="B31" s="183"/>
      <c r="C31" s="183"/>
    </row>
    <row r="32" spans="1:3" ht="12.75">
      <c r="A32" s="183" t="s">
        <v>85</v>
      </c>
      <c r="B32" s="183"/>
      <c r="C32" s="183"/>
    </row>
    <row r="33" spans="1:3" ht="12.75">
      <c r="A33" s="183"/>
      <c r="B33" s="184" t="s">
        <v>44</v>
      </c>
      <c r="C33" s="184" t="s">
        <v>83</v>
      </c>
    </row>
    <row r="34" spans="1:3" ht="12.75">
      <c r="A34" s="185" t="s">
        <v>86</v>
      </c>
      <c r="B34" s="186">
        <v>109</v>
      </c>
      <c r="C34" s="186">
        <v>88</v>
      </c>
    </row>
    <row r="35" spans="1:3" ht="12.75">
      <c r="A35" s="187" t="s">
        <v>87</v>
      </c>
      <c r="B35" s="188">
        <v>97</v>
      </c>
      <c r="C35" s="188">
        <v>82</v>
      </c>
    </row>
    <row r="36" spans="1:3" ht="12.75">
      <c r="A36" s="187" t="s">
        <v>88</v>
      </c>
      <c r="B36" s="188">
        <v>104</v>
      </c>
      <c r="C36" s="188">
        <v>83</v>
      </c>
    </row>
    <row r="37" spans="1:3" ht="12.75" customHeight="1">
      <c r="A37" s="187" t="s">
        <v>89</v>
      </c>
      <c r="B37" s="188">
        <v>103</v>
      </c>
      <c r="C37" s="188">
        <v>83</v>
      </c>
    </row>
    <row r="38" spans="1:3" ht="12.75">
      <c r="A38" s="189" t="s">
        <v>90</v>
      </c>
      <c r="B38" s="190">
        <v>45</v>
      </c>
      <c r="C38" s="190">
        <v>45</v>
      </c>
    </row>
    <row r="39" spans="1:3" ht="12.75">
      <c r="A39" s="191" t="s">
        <v>91</v>
      </c>
      <c r="B39" s="192"/>
      <c r="C39" s="192"/>
    </row>
  </sheetData>
  <sheetProtection/>
  <mergeCells count="8">
    <mergeCell ref="H11:K11"/>
    <mergeCell ref="A26:A27"/>
    <mergeCell ref="A28:A29"/>
    <mergeCell ref="C3:D3"/>
    <mergeCell ref="E3:F3"/>
    <mergeCell ref="A21:F21"/>
    <mergeCell ref="A8:F8"/>
    <mergeCell ref="C11:F11"/>
  </mergeCells>
  <hyperlinks>
    <hyperlink ref="A1" location="Index!A1" display="Index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45" customWidth="1"/>
    <col min="2" max="2" width="34.7109375" style="45" customWidth="1"/>
    <col min="3" max="16384" width="9.140625" style="45" customWidth="1"/>
  </cols>
  <sheetData>
    <row r="1" spans="1:29" s="12" customFormat="1" ht="24" customHeight="1">
      <c r="A1" s="111" t="s">
        <v>55</v>
      </c>
      <c r="B1" s="11"/>
      <c r="C1" s="29"/>
      <c r="D1" s="11"/>
      <c r="E1" s="11"/>
      <c r="F1" s="11"/>
      <c r="G1" s="11"/>
      <c r="H1" s="11"/>
      <c r="I1" s="11"/>
      <c r="J1" s="11"/>
      <c r="K1" s="11"/>
      <c r="L1" s="11"/>
      <c r="M1" s="29"/>
      <c r="N1" s="11"/>
      <c r="O1" s="11"/>
      <c r="P1" s="11"/>
      <c r="Q1" s="11"/>
      <c r="R1" s="29"/>
      <c r="S1" s="11"/>
      <c r="T1" s="11"/>
      <c r="U1" s="11"/>
      <c r="V1" s="11"/>
      <c r="W1" s="29"/>
      <c r="X1" s="11"/>
      <c r="Y1" s="11"/>
      <c r="Z1" s="11"/>
      <c r="AA1" s="11"/>
      <c r="AB1" s="29"/>
      <c r="AC1" s="36"/>
    </row>
    <row r="2" ht="15.75">
      <c r="B2" s="210" t="s">
        <v>104</v>
      </c>
    </row>
    <row r="3" ht="18.75" customHeight="1"/>
    <row r="4" spans="2:5" ht="34.5" customHeight="1">
      <c r="B4" s="348" t="s">
        <v>98</v>
      </c>
      <c r="C4" s="348"/>
      <c r="D4" s="348"/>
      <c r="E4" s="209"/>
    </row>
    <row r="5" spans="2:4" ht="30" customHeight="1">
      <c r="B5" s="347" t="s">
        <v>99</v>
      </c>
      <c r="C5" s="347"/>
      <c r="D5" s="347"/>
    </row>
    <row r="6" spans="2:4" ht="30" customHeight="1">
      <c r="B6" s="206"/>
      <c r="C6" s="207" t="s">
        <v>44</v>
      </c>
      <c r="D6" s="208" t="s">
        <v>45</v>
      </c>
    </row>
    <row r="7" spans="2:4" ht="42.75" customHeight="1">
      <c r="B7" s="205" t="s">
        <v>100</v>
      </c>
      <c r="C7" s="203">
        <v>30770.302975788567</v>
      </c>
      <c r="D7" s="204">
        <v>25590.304416378396</v>
      </c>
    </row>
    <row r="8" spans="2:4" ht="42.75" customHeight="1">
      <c r="B8" s="205" t="s">
        <v>107</v>
      </c>
      <c r="C8" s="203">
        <v>9263.834007957686</v>
      </c>
      <c r="D8" s="204">
        <v>10327.731835879009</v>
      </c>
    </row>
    <row r="9" spans="2:4" ht="42.75" customHeight="1">
      <c r="B9" s="205" t="s">
        <v>108</v>
      </c>
      <c r="C9" s="203">
        <v>-1313.3161263736272</v>
      </c>
      <c r="D9" s="204">
        <v>-250.51913633324796</v>
      </c>
    </row>
    <row r="10" spans="2:4" ht="42.75" customHeight="1">
      <c r="B10" s="205" t="s">
        <v>109</v>
      </c>
      <c r="C10" s="203">
        <v>-3550.6303209147304</v>
      </c>
      <c r="D10" s="204">
        <v>-3444.0731660391884</v>
      </c>
    </row>
    <row r="11" ht="12.75" customHeight="1"/>
    <row r="12" spans="2:5" ht="34.5" customHeight="1">
      <c r="B12" s="348" t="s">
        <v>98</v>
      </c>
      <c r="C12" s="348"/>
      <c r="D12" s="348"/>
      <c r="E12" s="209"/>
    </row>
    <row r="13" spans="2:4" ht="30" customHeight="1">
      <c r="B13" s="347" t="s">
        <v>105</v>
      </c>
      <c r="C13" s="347"/>
      <c r="D13" s="347"/>
    </row>
    <row r="14" spans="2:4" ht="30" customHeight="1">
      <c r="B14" s="206"/>
      <c r="C14" s="207" t="s">
        <v>44</v>
      </c>
      <c r="D14" s="208" t="s">
        <v>45</v>
      </c>
    </row>
    <row r="15" spans="2:4" ht="42.75" customHeight="1">
      <c r="B15" s="205" t="s">
        <v>100</v>
      </c>
      <c r="C15" s="203">
        <v>38190.792780863565</v>
      </c>
      <c r="D15" s="204">
        <v>31761.82026150286</v>
      </c>
    </row>
    <row r="16" spans="2:4" ht="42.75" customHeight="1">
      <c r="B16" s="205" t="s">
        <v>107</v>
      </c>
      <c r="C16" s="203">
        <v>8441.580955889827</v>
      </c>
      <c r="D16" s="204">
        <v>9920.904823860616</v>
      </c>
    </row>
    <row r="17" spans="2:4" ht="42.75" customHeight="1">
      <c r="B17" s="205" t="s">
        <v>108</v>
      </c>
      <c r="C17" s="203">
        <v>-2135.569178441485</v>
      </c>
      <c r="D17" s="204">
        <v>-657.3461483516412</v>
      </c>
    </row>
    <row r="18" spans="2:4" ht="42.75" customHeight="1">
      <c r="B18" s="205" t="s">
        <v>109</v>
      </c>
      <c r="C18" s="203">
        <v>-5168.473371608971</v>
      </c>
      <c r="D18" s="204">
        <v>-4363.9801766839555</v>
      </c>
    </row>
    <row r="19" ht="12.75" customHeight="1"/>
    <row r="20" spans="2:4" ht="34.5" customHeight="1">
      <c r="B20" s="348" t="s">
        <v>101</v>
      </c>
      <c r="C20" s="348"/>
      <c r="D20" s="348"/>
    </row>
    <row r="21" spans="2:4" ht="33" customHeight="1">
      <c r="B21" s="347" t="s">
        <v>102</v>
      </c>
      <c r="C21" s="347"/>
      <c r="D21" s="347"/>
    </row>
    <row r="22" spans="2:4" ht="30" customHeight="1">
      <c r="B22" s="206"/>
      <c r="C22" s="207" t="s">
        <v>44</v>
      </c>
      <c r="D22" s="208" t="s">
        <v>45</v>
      </c>
    </row>
    <row r="23" spans="2:4" ht="42.75" customHeight="1">
      <c r="B23" s="205" t="s">
        <v>100</v>
      </c>
      <c r="C23" s="203">
        <v>29757.079980727096</v>
      </c>
      <c r="D23" s="204">
        <v>25437.352266441376</v>
      </c>
    </row>
    <row r="24" spans="2:4" ht="42.75" customHeight="1">
      <c r="B24" s="205" t="s">
        <v>107</v>
      </c>
      <c r="C24" s="203">
        <v>15191.868155753353</v>
      </c>
      <c r="D24" s="204">
        <v>15714.436828799127</v>
      </c>
    </row>
    <row r="25" spans="2:4" ht="42.75" customHeight="1">
      <c r="B25" s="205" t="s">
        <v>108</v>
      </c>
      <c r="C25" s="203">
        <v>2672.784877826162</v>
      </c>
      <c r="D25" s="204">
        <v>3194.2527129909936</v>
      </c>
    </row>
    <row r="26" spans="2:4" ht="42.75" customHeight="1">
      <c r="B26" s="205" t="s">
        <v>109</v>
      </c>
      <c r="C26" s="203">
        <v>-686.9385717454401</v>
      </c>
      <c r="D26" s="204">
        <v>-701.2305717454358</v>
      </c>
    </row>
    <row r="27" ht="18" customHeight="1"/>
    <row r="28" spans="2:4" ht="34.5" customHeight="1">
      <c r="B28" s="348" t="s">
        <v>101</v>
      </c>
      <c r="C28" s="348"/>
      <c r="D28" s="348"/>
    </row>
    <row r="29" spans="2:4" ht="34.5" customHeight="1">
      <c r="B29" s="347" t="s">
        <v>103</v>
      </c>
      <c r="C29" s="347"/>
      <c r="D29" s="347"/>
    </row>
    <row r="30" spans="2:4" ht="34.5" customHeight="1">
      <c r="B30" s="206"/>
      <c r="C30" s="207" t="s">
        <v>44</v>
      </c>
      <c r="D30" s="208" t="s">
        <v>45</v>
      </c>
    </row>
    <row r="31" spans="2:4" ht="42.75" customHeight="1">
      <c r="B31" s="205" t="s">
        <v>100</v>
      </c>
      <c r="C31" s="203">
        <v>44232.2077816023</v>
      </c>
      <c r="D31" s="204">
        <v>37803.23526224159</v>
      </c>
    </row>
    <row r="32" spans="2:4" ht="42.75" customHeight="1">
      <c r="B32" s="205" t="s">
        <v>107</v>
      </c>
      <c r="C32" s="203">
        <v>13087.653099485706</v>
      </c>
      <c r="D32" s="204">
        <v>15088.40553888506</v>
      </c>
    </row>
    <row r="33" spans="2:4" ht="42.75" customHeight="1">
      <c r="B33" s="205" t="s">
        <v>108</v>
      </c>
      <c r="C33" s="203">
        <v>568.5698215585163</v>
      </c>
      <c r="D33" s="204">
        <v>2568.2214230769255</v>
      </c>
    </row>
    <row r="34" spans="2:4" ht="42.75" customHeight="1">
      <c r="B34" s="205" t="s">
        <v>109</v>
      </c>
      <c r="C34" s="203">
        <v>-2332.5704958702327</v>
      </c>
      <c r="D34" s="204">
        <v>-1528.077300945229</v>
      </c>
    </row>
    <row r="35" ht="12.75" customHeight="1"/>
    <row r="36" ht="12.75" customHeight="1"/>
    <row r="37" ht="12.75" customHeight="1"/>
    <row r="38" ht="13.5" customHeight="1"/>
    <row r="41" ht="15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3.5" customHeight="1"/>
  </sheetData>
  <sheetProtection/>
  <mergeCells count="8">
    <mergeCell ref="B21:D21"/>
    <mergeCell ref="B28:D28"/>
    <mergeCell ref="B29:D29"/>
    <mergeCell ref="B4:D4"/>
    <mergeCell ref="B5:D5"/>
    <mergeCell ref="B20:D20"/>
    <mergeCell ref="B12:D12"/>
    <mergeCell ref="B13:D1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30</v>
      </c>
    </row>
    <row r="3" ht="12.75">
      <c r="A3" s="31" t="s">
        <v>31</v>
      </c>
    </row>
    <row r="4" spans="1:24" s="21" customFormat="1" ht="33.75" customHeight="1">
      <c r="A4" s="19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29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286.3891799891346</v>
      </c>
      <c r="D6" s="33"/>
      <c r="E6" s="24">
        <v>298.8421799891346</v>
      </c>
      <c r="F6" s="24">
        <v>315.1298389519839</v>
      </c>
      <c r="G6" s="24">
        <v>323.126910951984</v>
      </c>
      <c r="H6" s="24">
        <v>331.5487281169301</v>
      </c>
      <c r="I6" s="33"/>
      <c r="J6" s="24">
        <v>302.87417998913463</v>
      </c>
      <c r="K6" s="24">
        <v>320.35223895198396</v>
      </c>
      <c r="L6" s="24">
        <v>328.5023789519839</v>
      </c>
      <c r="M6" s="24">
        <v>346.73129537375</v>
      </c>
      <c r="N6" s="33"/>
      <c r="O6" s="24">
        <v>302.16017998913463</v>
      </c>
      <c r="P6" s="24">
        <v>319.42743895198396</v>
      </c>
      <c r="Q6" s="24">
        <v>327.5590829519839</v>
      </c>
      <c r="R6" s="24">
        <v>343.89909537375</v>
      </c>
      <c r="S6" s="33"/>
      <c r="T6" s="24">
        <v>300.98417998913465</v>
      </c>
      <c r="U6" s="24">
        <v>317.9042389519839</v>
      </c>
      <c r="V6" s="24">
        <v>326.0054189519839</v>
      </c>
      <c r="W6" s="24">
        <v>339.23429537375</v>
      </c>
      <c r="X6" s="35"/>
    </row>
    <row r="7" spans="1:24" ht="12.75">
      <c r="A7" s="22" t="s">
        <v>11</v>
      </c>
      <c r="B7" s="23">
        <v>229.30359875081356</v>
      </c>
      <c r="C7" s="24">
        <v>455.4222841510558</v>
      </c>
      <c r="D7" s="33"/>
      <c r="E7" s="24">
        <v>491.0022841510558</v>
      </c>
      <c r="F7" s="24">
        <v>590.1153995356711</v>
      </c>
      <c r="G7" s="24">
        <v>653.1719595356712</v>
      </c>
      <c r="H7" s="24">
        <v>732.4261629206711</v>
      </c>
      <c r="I7" s="33"/>
      <c r="J7" s="24">
        <v>501.15728415105576</v>
      </c>
      <c r="K7" s="24">
        <v>600.8673995356712</v>
      </c>
      <c r="L7" s="24">
        <v>664.2390995356712</v>
      </c>
      <c r="M7" s="24">
        <v>748.4197629206711</v>
      </c>
      <c r="N7" s="33"/>
      <c r="O7" s="24">
        <v>500.4432841510558</v>
      </c>
      <c r="P7" s="24">
        <v>598.9633995356712</v>
      </c>
      <c r="Q7" s="24">
        <v>662.2970195356712</v>
      </c>
      <c r="R7" s="24">
        <v>745.5875629206712</v>
      </c>
      <c r="S7" s="33"/>
      <c r="T7" s="24">
        <v>497.1222841510558</v>
      </c>
      <c r="U7" s="24">
        <v>595.8273995356711</v>
      </c>
      <c r="V7" s="24">
        <v>659.0982995356712</v>
      </c>
      <c r="W7" s="24">
        <v>740.9227629206712</v>
      </c>
      <c r="X7" s="35"/>
    </row>
    <row r="8" spans="1:24" ht="12.75">
      <c r="A8" s="22" t="s">
        <v>12</v>
      </c>
      <c r="B8" s="23">
        <v>200.05625406835097</v>
      </c>
      <c r="C8" s="24">
        <v>323.6317334279596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492.66483758988085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342.5847334279596</v>
      </c>
      <c r="F10" s="24">
        <v>363.2823392235339</v>
      </c>
      <c r="G10" s="24">
        <v>374.4731240097974</v>
      </c>
      <c r="H10" s="24">
        <v>376.35691163736857</v>
      </c>
      <c r="I10" s="33"/>
      <c r="J10" s="25">
        <v>346.6167334279596</v>
      </c>
      <c r="K10" s="24">
        <v>371.6984520097974</v>
      </c>
      <c r="L10" s="24">
        <v>379.84859200979736</v>
      </c>
      <c r="M10" s="24">
        <v>390.473848812575</v>
      </c>
      <c r="N10" s="33"/>
      <c r="O10" s="24">
        <v>345.9027334279596</v>
      </c>
      <c r="P10" s="24">
        <v>370.7736520097974</v>
      </c>
      <c r="Q10" s="24">
        <v>378.90529600979744</v>
      </c>
      <c r="R10" s="24">
        <v>387.641648812575</v>
      </c>
      <c r="S10" s="33"/>
      <c r="T10" s="24">
        <v>344.72673342795963</v>
      </c>
      <c r="U10" s="24">
        <v>368.99433922353387</v>
      </c>
      <c r="V10" s="24">
        <v>377.3516320097974</v>
      </c>
      <c r="W10" s="24">
        <v>383.11849163736855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355.0377334279596</v>
      </c>
      <c r="F11" s="24">
        <v>382.6056520097974</v>
      </c>
      <c r="G11" s="24">
        <v>408.52796881257495</v>
      </c>
      <c r="H11" s="24">
        <v>439.77764881257497</v>
      </c>
      <c r="I11" s="33"/>
      <c r="J11" s="24">
        <v>363.10173342795963</v>
      </c>
      <c r="K11" s="24">
        <v>397.10284881257496</v>
      </c>
      <c r="L11" s="24">
        <v>430.66224881257494</v>
      </c>
      <c r="M11" s="24">
        <v>471.764848812575</v>
      </c>
      <c r="N11" s="33"/>
      <c r="O11" s="24">
        <v>361.67373342795963</v>
      </c>
      <c r="P11" s="24">
        <v>393.29484881257497</v>
      </c>
      <c r="Q11" s="24">
        <v>426.778088812575</v>
      </c>
      <c r="R11" s="24">
        <v>466.100448812575</v>
      </c>
      <c r="S11" s="33"/>
      <c r="T11" s="24">
        <v>359.3217334279596</v>
      </c>
      <c r="U11" s="25">
        <v>388.1544520097974</v>
      </c>
      <c r="V11" s="24">
        <v>420.380648812575</v>
      </c>
      <c r="W11" s="24">
        <v>456.77084881257497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521.3678375898808</v>
      </c>
      <c r="F12" s="24">
        <v>542.0654433854552</v>
      </c>
      <c r="G12" s="24">
        <v>550.2703340800336</v>
      </c>
      <c r="H12" s="24">
        <v>560.2099056577798</v>
      </c>
      <c r="I12" s="33"/>
      <c r="J12" s="24">
        <v>525.3998375898808</v>
      </c>
      <c r="K12" s="24">
        <v>552.8174433854551</v>
      </c>
      <c r="L12" s="24">
        <v>559.0465060800336</v>
      </c>
      <c r="M12" s="24">
        <v>572.9375856577798</v>
      </c>
      <c r="N12" s="33"/>
      <c r="O12" s="24">
        <v>524.6858375898809</v>
      </c>
      <c r="P12" s="24">
        <v>550.9134433854551</v>
      </c>
      <c r="Q12" s="24">
        <v>557.5010020800336</v>
      </c>
      <c r="R12" s="24">
        <v>570.6837256577799</v>
      </c>
      <c r="S12" s="33"/>
      <c r="T12" s="24">
        <v>523.5098375898808</v>
      </c>
      <c r="U12" s="24">
        <v>547.7774433854552</v>
      </c>
      <c r="V12" s="24">
        <v>554.9554660800336</v>
      </c>
      <c r="W12" s="26">
        <v>566.9714856577798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533.8208375898809</v>
      </c>
      <c r="F13" s="24">
        <v>647.5659529744962</v>
      </c>
      <c r="G13" s="24">
        <v>727.0870729744962</v>
      </c>
      <c r="H13" s="24">
        <v>821.9661163594963</v>
      </c>
      <c r="I13" s="33"/>
      <c r="J13" s="24">
        <v>541.8848375898808</v>
      </c>
      <c r="K13" s="24">
        <v>669.0699529744962</v>
      </c>
      <c r="L13" s="24">
        <v>749.2213529744962</v>
      </c>
      <c r="M13" s="24">
        <v>853.9533163594963</v>
      </c>
      <c r="N13" s="33"/>
      <c r="O13" s="24">
        <v>540.4568375898808</v>
      </c>
      <c r="P13" s="24">
        <v>665.2619529744962</v>
      </c>
      <c r="Q13" s="24">
        <v>745.3371929744962</v>
      </c>
      <c r="R13" s="24">
        <v>848.2889163594962</v>
      </c>
      <c r="S13" s="33"/>
      <c r="T13" s="24">
        <v>538.1048375898808</v>
      </c>
      <c r="U13" s="24">
        <v>658.9899529744962</v>
      </c>
      <c r="V13" s="24">
        <v>738.9397529744963</v>
      </c>
      <c r="W13" s="24">
        <v>838.9593163594961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535.58</v>
      </c>
      <c r="F14" s="24">
        <v>578.6654433854551</v>
      </c>
      <c r="G14" s="24">
        <v>586.8703340800336</v>
      </c>
      <c r="H14" s="24">
        <v>596.8099056577797</v>
      </c>
      <c r="I14" s="33"/>
      <c r="J14" s="24">
        <v>547.1</v>
      </c>
      <c r="K14" s="25">
        <v>589.417443385455</v>
      </c>
      <c r="L14" s="24">
        <v>595.6465060800335</v>
      </c>
      <c r="M14" s="24">
        <v>609.5375856577797</v>
      </c>
      <c r="N14" s="33"/>
      <c r="O14" s="24">
        <v>545.06</v>
      </c>
      <c r="P14" s="24">
        <v>587.513443385455</v>
      </c>
      <c r="Q14" s="24">
        <v>594.1010020800336</v>
      </c>
      <c r="R14" s="24">
        <v>607.2837256577798</v>
      </c>
      <c r="S14" s="33"/>
      <c r="T14" s="24">
        <v>541.6999999999999</v>
      </c>
      <c r="U14" s="24">
        <v>584.3774433854551</v>
      </c>
      <c r="V14" s="24">
        <v>591.5554660800336</v>
      </c>
      <c r="W14" s="24">
        <v>603.5714856577797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570.4208375898808</v>
      </c>
      <c r="F15" s="24">
        <v>684.1659529744961</v>
      </c>
      <c r="G15" s="24">
        <v>763.6870729744962</v>
      </c>
      <c r="H15" s="24">
        <v>858.5661163594962</v>
      </c>
      <c r="I15" s="33"/>
      <c r="J15" s="24">
        <v>578.4848375898807</v>
      </c>
      <c r="K15" s="24">
        <v>705.6699529744961</v>
      </c>
      <c r="L15" s="24">
        <v>785.8213529744962</v>
      </c>
      <c r="M15" s="24">
        <v>890.5533163594962</v>
      </c>
      <c r="N15" s="33"/>
      <c r="O15" s="24">
        <v>577.0568375898808</v>
      </c>
      <c r="P15" s="24">
        <v>701.8619529744961</v>
      </c>
      <c r="Q15" s="24">
        <v>781.9371929744963</v>
      </c>
      <c r="R15" s="24">
        <v>884.8889163594961</v>
      </c>
      <c r="S15" s="33"/>
      <c r="T15" s="24">
        <v>574.7048375898808</v>
      </c>
      <c r="U15" s="24">
        <v>695.5899529744961</v>
      </c>
      <c r="V15" s="24">
        <v>775.5397529744962</v>
      </c>
      <c r="W15" s="24">
        <v>875.559316359496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535.58</v>
      </c>
      <c r="F16" s="24">
        <v>594.88</v>
      </c>
      <c r="G16" s="24">
        <v>653.764736078035</v>
      </c>
      <c r="H16" s="24">
        <v>663.7043076557811</v>
      </c>
      <c r="I16" s="33"/>
      <c r="J16" s="24">
        <v>547.1</v>
      </c>
      <c r="K16" s="24">
        <v>625.6</v>
      </c>
      <c r="L16" s="24">
        <v>662.540908078035</v>
      </c>
      <c r="M16" s="24">
        <v>676.4319876557811</v>
      </c>
      <c r="N16" s="33"/>
      <c r="O16" s="24">
        <v>545.06</v>
      </c>
      <c r="P16" s="24">
        <v>620.1600000000001</v>
      </c>
      <c r="Q16" s="24">
        <v>660.995404078035</v>
      </c>
      <c r="R16" s="24">
        <v>674.178127655781</v>
      </c>
      <c r="S16" s="33"/>
      <c r="T16" s="24">
        <v>541.7</v>
      </c>
      <c r="U16" s="24">
        <v>611.2</v>
      </c>
      <c r="V16" s="24">
        <v>658.449868078035</v>
      </c>
      <c r="W16" s="24">
        <v>670.4658876557812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571.16</v>
      </c>
      <c r="F17" s="24">
        <v>795.7205851785211</v>
      </c>
      <c r="G17" s="24">
        <v>892.2790685635212</v>
      </c>
      <c r="H17" s="24">
        <v>923.5287485635213</v>
      </c>
      <c r="I17" s="33"/>
      <c r="J17" s="24">
        <v>594.2</v>
      </c>
      <c r="K17" s="24">
        <v>817.2245851785212</v>
      </c>
      <c r="L17" s="24">
        <v>914.4133485635211</v>
      </c>
      <c r="M17" s="24">
        <v>955.5159485635212</v>
      </c>
      <c r="N17" s="33"/>
      <c r="O17" s="24">
        <v>590.12</v>
      </c>
      <c r="P17" s="24">
        <v>813.4165851785212</v>
      </c>
      <c r="Q17" s="24">
        <v>910.5291885635212</v>
      </c>
      <c r="R17" s="24">
        <v>949.8515485635212</v>
      </c>
      <c r="S17" s="33"/>
      <c r="T17" s="24">
        <v>583.4</v>
      </c>
      <c r="U17" s="24">
        <v>807.1445851785211</v>
      </c>
      <c r="V17" s="24">
        <v>904.1317485635212</v>
      </c>
      <c r="W17" s="24">
        <v>940.5219485635212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535.58</v>
      </c>
      <c r="F18" s="24">
        <v>594.88</v>
      </c>
      <c r="G18" s="24">
        <v>717.4091380760365</v>
      </c>
      <c r="H18" s="24">
        <v>727.3487096537826</v>
      </c>
      <c r="I18" s="33"/>
      <c r="J18" s="24">
        <v>547.1</v>
      </c>
      <c r="K18" s="24">
        <v>625.6</v>
      </c>
      <c r="L18" s="24">
        <v>726.1853100760363</v>
      </c>
      <c r="M18" s="24">
        <v>740.0763896537826</v>
      </c>
      <c r="N18" s="33"/>
      <c r="O18" s="24">
        <v>545.0600000000001</v>
      </c>
      <c r="P18" s="24">
        <v>620.16</v>
      </c>
      <c r="Q18" s="24">
        <v>724.6398060760364</v>
      </c>
      <c r="R18" s="24">
        <v>737.8225296537826</v>
      </c>
      <c r="S18" s="33"/>
      <c r="T18" s="24">
        <v>541.7</v>
      </c>
      <c r="U18" s="24">
        <v>611.2</v>
      </c>
      <c r="V18" s="24">
        <v>722.0942700760364</v>
      </c>
      <c r="W18" s="24">
        <v>734.1102896537825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571.1600000000001</v>
      </c>
      <c r="F19" s="24">
        <v>904.0252173825461</v>
      </c>
      <c r="G19" s="24">
        <v>953.9917007675463</v>
      </c>
      <c r="H19" s="24">
        <v>985.2413807675462</v>
      </c>
      <c r="I19" s="33"/>
      <c r="J19" s="24">
        <v>594.1999999999999</v>
      </c>
      <c r="K19" s="24">
        <v>925.5292173825462</v>
      </c>
      <c r="L19" s="24">
        <v>976.1259807675461</v>
      </c>
      <c r="M19" s="24">
        <v>1017.2285807675462</v>
      </c>
      <c r="N19" s="33"/>
      <c r="O19" s="24">
        <v>590.12</v>
      </c>
      <c r="P19" s="24">
        <v>921.7212173825462</v>
      </c>
      <c r="Q19" s="24">
        <v>972.2418207675462</v>
      </c>
      <c r="R19" s="24">
        <v>1011.5641807675462</v>
      </c>
      <c r="S19" s="33"/>
      <c r="T19" s="24">
        <v>583.4</v>
      </c>
      <c r="U19" s="24">
        <v>915.4492173825461</v>
      </c>
      <c r="V19" s="24">
        <v>965.8443807675461</v>
      </c>
      <c r="W19" s="24">
        <v>1002.2345807675463</v>
      </c>
      <c r="X19" s="35"/>
    </row>
    <row r="20" spans="1:24" ht="27" customHeight="1">
      <c r="A20" s="18" t="s">
        <v>24</v>
      </c>
      <c r="B20" s="13" t="s">
        <v>8</v>
      </c>
      <c r="C20" s="14" t="s">
        <v>29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160.22917998913465</v>
      </c>
      <c r="D21" s="33"/>
      <c r="E21" s="24">
        <v>172.68217998913462</v>
      </c>
      <c r="F21" s="24">
        <v>188.96983895198395</v>
      </c>
      <c r="G21" s="24">
        <v>196.96691095198395</v>
      </c>
      <c r="H21" s="24">
        <v>205.38872811693005</v>
      </c>
      <c r="I21" s="33"/>
      <c r="J21" s="24">
        <v>176.71417998913464</v>
      </c>
      <c r="K21" s="24">
        <v>194.19223895198394</v>
      </c>
      <c r="L21" s="24">
        <v>202.3423789519839</v>
      </c>
      <c r="M21" s="24">
        <v>232.26000000000002</v>
      </c>
      <c r="N21" s="33"/>
      <c r="O21" s="24">
        <v>176.00017998913464</v>
      </c>
      <c r="P21" s="24">
        <v>193.26743895198393</v>
      </c>
      <c r="Q21" s="24">
        <v>201.39908295198393</v>
      </c>
      <c r="R21" s="24">
        <v>224.16799999999998</v>
      </c>
      <c r="S21" s="33"/>
      <c r="T21" s="24">
        <v>174.82417998913462</v>
      </c>
      <c r="U21" s="24">
        <v>191.74423895198393</v>
      </c>
      <c r="V21" s="24">
        <v>199.84541895198393</v>
      </c>
      <c r="W21" s="26">
        <v>213.07429537375</v>
      </c>
      <c r="X21" s="35"/>
    </row>
    <row r="22" spans="1:24" ht="12.75">
      <c r="A22" s="22" t="s">
        <v>11</v>
      </c>
      <c r="B22" s="23">
        <v>84.69874493410276</v>
      </c>
      <c r="C22" s="24">
        <v>310.82228415105584</v>
      </c>
      <c r="D22" s="33"/>
      <c r="E22" s="24">
        <v>346.4022841510558</v>
      </c>
      <c r="F22" s="24">
        <v>445.5153995356712</v>
      </c>
      <c r="G22" s="24">
        <v>508.5719595356712</v>
      </c>
      <c r="H22" s="24">
        <v>587.8261629206713</v>
      </c>
      <c r="I22" s="33"/>
      <c r="J22" s="24">
        <v>356.5572841510558</v>
      </c>
      <c r="K22" s="24">
        <v>456.2673995356712</v>
      </c>
      <c r="L22" s="24">
        <v>519.6390995356712</v>
      </c>
      <c r="M22" s="24">
        <v>603.8197629206712</v>
      </c>
      <c r="N22" s="33"/>
      <c r="O22" s="24">
        <v>355.84328415105585</v>
      </c>
      <c r="P22" s="24">
        <v>454.3633995356712</v>
      </c>
      <c r="Q22" s="24">
        <v>517.6970195356712</v>
      </c>
      <c r="R22" s="24">
        <v>600.9875629206713</v>
      </c>
      <c r="S22" s="33"/>
      <c r="T22" s="24">
        <v>352.5222841510558</v>
      </c>
      <c r="U22" s="24">
        <v>451.22739953567117</v>
      </c>
      <c r="V22" s="24">
        <v>514.4982995356712</v>
      </c>
      <c r="W22" s="24">
        <v>596.3227629206713</v>
      </c>
      <c r="X22" s="35"/>
    </row>
    <row r="23" spans="1:24" ht="12.75">
      <c r="A23" s="22" t="s">
        <v>12</v>
      </c>
      <c r="B23" s="23">
        <v>73.89554166666649</v>
      </c>
      <c r="C23" s="24">
        <v>197.47173342795966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348.0648375898808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216.42473342795964</v>
      </c>
      <c r="F25" s="24">
        <v>237.12233922353394</v>
      </c>
      <c r="G25" s="24">
        <v>248.31312400979743</v>
      </c>
      <c r="H25" s="24">
        <v>250.1969116373686</v>
      </c>
      <c r="I25" s="33"/>
      <c r="J25" s="24">
        <v>220.45673342795965</v>
      </c>
      <c r="K25" s="24">
        <v>245.53845200979742</v>
      </c>
      <c r="L25" s="24">
        <v>253.68859200979745</v>
      </c>
      <c r="M25" s="24">
        <v>264.31384881257503</v>
      </c>
      <c r="N25" s="33"/>
      <c r="O25" s="24">
        <v>219.74273342795965</v>
      </c>
      <c r="P25" s="24">
        <v>244.61365200979742</v>
      </c>
      <c r="Q25" s="24">
        <v>252.74529600979744</v>
      </c>
      <c r="R25" s="24">
        <v>261.48164881257503</v>
      </c>
      <c r="S25" s="33"/>
      <c r="T25" s="24">
        <v>218.56673342795963</v>
      </c>
      <c r="U25" s="24">
        <v>242.83433922353396</v>
      </c>
      <c r="V25" s="24">
        <v>251.19163200979744</v>
      </c>
      <c r="W25" s="24">
        <v>256.9584916373686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228.87773342795964</v>
      </c>
      <c r="F26" s="24">
        <v>256.4456520097974</v>
      </c>
      <c r="G26" s="24">
        <v>283.84319999999997</v>
      </c>
      <c r="H26" s="24">
        <v>373.128</v>
      </c>
      <c r="I26" s="33"/>
      <c r="J26" s="24">
        <v>236.94173342795966</v>
      </c>
      <c r="K26" s="24">
        <v>270.942848812575</v>
      </c>
      <c r="L26" s="24">
        <v>347.08399999999995</v>
      </c>
      <c r="M26" s="24">
        <v>464.52000000000004</v>
      </c>
      <c r="N26" s="33"/>
      <c r="O26" s="24">
        <v>235.51373342795964</v>
      </c>
      <c r="P26" s="24">
        <v>267.134848812575</v>
      </c>
      <c r="Q26" s="24">
        <v>335.9864</v>
      </c>
      <c r="R26" s="24">
        <v>448.33599999999996</v>
      </c>
      <c r="S26" s="33"/>
      <c r="T26" s="24">
        <v>233.16173342795963</v>
      </c>
      <c r="U26" s="24">
        <v>261.99445200979744</v>
      </c>
      <c r="V26" s="24">
        <v>317.70799999999997</v>
      </c>
      <c r="W26" s="24">
        <v>421.68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376.7678375898808</v>
      </c>
      <c r="F27" s="24">
        <v>397.4654433854551</v>
      </c>
      <c r="G27" s="24">
        <v>405.6703340800336</v>
      </c>
      <c r="H27" s="24">
        <v>415.6099056577798</v>
      </c>
      <c r="I27" s="33"/>
      <c r="J27" s="24">
        <v>380.7998375898808</v>
      </c>
      <c r="K27" s="24">
        <v>408.2174433854551</v>
      </c>
      <c r="L27" s="24">
        <v>414.4465060800336</v>
      </c>
      <c r="M27" s="24">
        <v>428.33758565777975</v>
      </c>
      <c r="N27" s="33"/>
      <c r="O27" s="24">
        <v>380.08583758988084</v>
      </c>
      <c r="P27" s="24">
        <v>406.3134433854551</v>
      </c>
      <c r="Q27" s="24">
        <v>412.90100208003355</v>
      </c>
      <c r="R27" s="24">
        <v>426.0837256577797</v>
      </c>
      <c r="S27" s="33"/>
      <c r="T27" s="24">
        <v>378.9098375898808</v>
      </c>
      <c r="U27" s="24">
        <v>403.1774433854551</v>
      </c>
      <c r="V27" s="24">
        <v>410.3554660800336</v>
      </c>
      <c r="W27" s="24">
        <v>422.3714856577798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389.2208375898808</v>
      </c>
      <c r="F28" s="24">
        <v>502.9659529744962</v>
      </c>
      <c r="G28" s="24">
        <v>582.4870729744962</v>
      </c>
      <c r="H28" s="24">
        <v>677.3661163594962</v>
      </c>
      <c r="I28" s="33"/>
      <c r="J28" s="24">
        <v>397.2848375898808</v>
      </c>
      <c r="K28" s="24">
        <v>524.4699529744961</v>
      </c>
      <c r="L28" s="24">
        <v>604.6213529744962</v>
      </c>
      <c r="M28" s="24">
        <v>709.3533163594961</v>
      </c>
      <c r="N28" s="33"/>
      <c r="O28" s="24">
        <v>395.8568375898808</v>
      </c>
      <c r="P28" s="24">
        <v>520.6619529744961</v>
      </c>
      <c r="Q28" s="24">
        <v>600.7371929744962</v>
      </c>
      <c r="R28" s="24">
        <v>703.6889163594963</v>
      </c>
      <c r="S28" s="33"/>
      <c r="T28" s="24">
        <v>393.5048375898808</v>
      </c>
      <c r="U28" s="24">
        <v>514.3899529744962</v>
      </c>
      <c r="V28" s="24">
        <v>594.3397529744962</v>
      </c>
      <c r="W28" s="24">
        <v>694.3593163594962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390.28783758988084</v>
      </c>
      <c r="F29" s="24">
        <v>410.98544338545514</v>
      </c>
      <c r="G29" s="24">
        <v>419.1903340800336</v>
      </c>
      <c r="H29" s="24">
        <v>429.1299056577798</v>
      </c>
      <c r="I29" s="33"/>
      <c r="J29" s="24">
        <v>394.3198375898808</v>
      </c>
      <c r="K29" s="24">
        <v>421.73744338545515</v>
      </c>
      <c r="L29" s="24">
        <v>427.9665060800336</v>
      </c>
      <c r="M29" s="24">
        <v>441.85758565777974</v>
      </c>
      <c r="N29" s="33"/>
      <c r="O29" s="24">
        <v>393.6058375898809</v>
      </c>
      <c r="P29" s="24">
        <v>419.83344338545515</v>
      </c>
      <c r="Q29" s="24">
        <v>426.42100208003365</v>
      </c>
      <c r="R29" s="24">
        <v>439.6037256577798</v>
      </c>
      <c r="S29" s="33"/>
      <c r="T29" s="24">
        <v>392.42983758988083</v>
      </c>
      <c r="U29" s="24">
        <v>416.69744338545513</v>
      </c>
      <c r="V29" s="24">
        <v>423.8754660800336</v>
      </c>
      <c r="W29" s="24">
        <v>435.8914856577798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402.7408375898808</v>
      </c>
      <c r="F30" s="24">
        <v>516.4859529744962</v>
      </c>
      <c r="G30" s="24">
        <v>596.0070729744962</v>
      </c>
      <c r="H30" s="24">
        <v>690.8861163594962</v>
      </c>
      <c r="I30" s="33"/>
      <c r="J30" s="24">
        <v>410.80483758988083</v>
      </c>
      <c r="K30" s="24">
        <v>537.9899529744962</v>
      </c>
      <c r="L30" s="24">
        <v>618.1413529744963</v>
      </c>
      <c r="M30" s="24">
        <v>722.8733163594961</v>
      </c>
      <c r="N30" s="33"/>
      <c r="O30" s="24">
        <v>409.3768375898809</v>
      </c>
      <c r="P30" s="24">
        <v>534.1819529744962</v>
      </c>
      <c r="Q30" s="24">
        <v>614.2571929744963</v>
      </c>
      <c r="R30" s="24">
        <v>717.2089163594962</v>
      </c>
      <c r="S30" s="33"/>
      <c r="T30" s="24">
        <v>407.0248375898808</v>
      </c>
      <c r="U30" s="24">
        <v>527.9099529744962</v>
      </c>
      <c r="V30" s="24">
        <v>607.8597529744962</v>
      </c>
      <c r="W30" s="24">
        <v>707.8793163594962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455.25046979390584</v>
      </c>
      <c r="F31" s="24">
        <v>475.94807558948014</v>
      </c>
      <c r="G31" s="24">
        <v>486.08473607803506</v>
      </c>
      <c r="H31" s="24">
        <v>496.02430765578123</v>
      </c>
      <c r="I31" s="33"/>
      <c r="J31" s="24">
        <v>459.2824697939059</v>
      </c>
      <c r="K31" s="24">
        <v>486.70007558948015</v>
      </c>
      <c r="L31" s="24">
        <v>494.86090807803504</v>
      </c>
      <c r="M31" s="24">
        <v>508.75198765578125</v>
      </c>
      <c r="N31" s="33"/>
      <c r="O31" s="24">
        <v>458.5684697939059</v>
      </c>
      <c r="P31" s="24">
        <v>484.79607558948015</v>
      </c>
      <c r="Q31" s="24">
        <v>493.31540407803504</v>
      </c>
      <c r="R31" s="24">
        <v>506.49812765578116</v>
      </c>
      <c r="S31" s="33"/>
      <c r="T31" s="24">
        <v>457.39246979390583</v>
      </c>
      <c r="U31" s="24">
        <v>481.66007558948013</v>
      </c>
      <c r="V31" s="24">
        <v>490.7698680780351</v>
      </c>
      <c r="W31" s="24">
        <v>502.7858876557812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467.7034697939058</v>
      </c>
      <c r="F32" s="24">
        <v>628.0405851785213</v>
      </c>
      <c r="G32" s="24">
        <v>724.5990685635213</v>
      </c>
      <c r="H32" s="24">
        <v>755.8487485635212</v>
      </c>
      <c r="I32" s="33"/>
      <c r="J32" s="24">
        <v>475.76746979390583</v>
      </c>
      <c r="K32" s="24">
        <v>649.5445851785212</v>
      </c>
      <c r="L32" s="24">
        <v>746.7333485635212</v>
      </c>
      <c r="M32" s="24">
        <v>787.8359485635212</v>
      </c>
      <c r="N32" s="33"/>
      <c r="O32" s="24">
        <v>474.3394697939059</v>
      </c>
      <c r="P32" s="24">
        <v>645.7365851785212</v>
      </c>
      <c r="Q32" s="24">
        <v>742.8491885635212</v>
      </c>
      <c r="R32" s="24">
        <v>782.1715485635212</v>
      </c>
      <c r="S32" s="33"/>
      <c r="T32" s="24">
        <v>471.9874697939058</v>
      </c>
      <c r="U32" s="24">
        <v>639.4645851785212</v>
      </c>
      <c r="V32" s="24">
        <v>736.4517485635213</v>
      </c>
      <c r="W32" s="24">
        <v>772.8419485635213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516.9631019979308</v>
      </c>
      <c r="F33" s="24">
        <v>537.6607077935051</v>
      </c>
      <c r="G33" s="24">
        <v>549.7291380760364</v>
      </c>
      <c r="H33" s="24">
        <v>559.6687096537826</v>
      </c>
      <c r="I33" s="33"/>
      <c r="J33" s="24">
        <v>520.9951019979309</v>
      </c>
      <c r="K33" s="24">
        <v>548.4127077935052</v>
      </c>
      <c r="L33" s="24">
        <v>558.5053100760365</v>
      </c>
      <c r="M33" s="24">
        <v>572.3963896537825</v>
      </c>
      <c r="N33" s="33"/>
      <c r="O33" s="24">
        <v>520.2811019979309</v>
      </c>
      <c r="P33" s="24">
        <v>546.5087077935052</v>
      </c>
      <c r="Q33" s="24">
        <v>556.9598060760364</v>
      </c>
      <c r="R33" s="24">
        <v>570.1425296537826</v>
      </c>
      <c r="S33" s="33"/>
      <c r="T33" s="24">
        <v>519.1051019979309</v>
      </c>
      <c r="U33" s="24">
        <v>543.3727077935051</v>
      </c>
      <c r="V33" s="24">
        <v>554.4142700760365</v>
      </c>
      <c r="W33" s="24">
        <v>566.4302896537827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529.4161019979308</v>
      </c>
      <c r="F34" s="24">
        <v>736.3452173825461</v>
      </c>
      <c r="G34" s="24">
        <v>786.3117007675462</v>
      </c>
      <c r="H34" s="24">
        <v>817.5613807675463</v>
      </c>
      <c r="I34" s="33"/>
      <c r="J34" s="24">
        <v>537.4801019979309</v>
      </c>
      <c r="K34" s="24">
        <v>757.8492173825462</v>
      </c>
      <c r="L34" s="24">
        <v>808.4459807675462</v>
      </c>
      <c r="M34" s="24">
        <v>849.5485807675461</v>
      </c>
      <c r="N34" s="33"/>
      <c r="O34" s="24">
        <v>536.0521019979309</v>
      </c>
      <c r="P34" s="24">
        <v>754.0412173825462</v>
      </c>
      <c r="Q34" s="24">
        <v>804.5618207675462</v>
      </c>
      <c r="R34" s="24">
        <v>843.8841807675462</v>
      </c>
      <c r="S34" s="33"/>
      <c r="T34" s="24">
        <v>533.7001019979309</v>
      </c>
      <c r="U34" s="24">
        <v>747.7692173825462</v>
      </c>
      <c r="V34" s="24">
        <v>798.1643807675462</v>
      </c>
      <c r="W34" s="24">
        <v>834.5545807675462</v>
      </c>
      <c r="X34" s="35"/>
    </row>
    <row r="35" spans="1:24" ht="36">
      <c r="A35" s="18" t="s">
        <v>25</v>
      </c>
      <c r="B35" s="13" t="s">
        <v>8</v>
      </c>
      <c r="C35" s="14" t="s">
        <v>29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213.27433383528847</v>
      </c>
      <c r="D36" s="33"/>
      <c r="E36" s="24">
        <v>225.72733383528845</v>
      </c>
      <c r="F36" s="24">
        <v>242.015745801299</v>
      </c>
      <c r="G36" s="24">
        <v>250.01281780129898</v>
      </c>
      <c r="H36" s="24">
        <v>258.43463496624514</v>
      </c>
      <c r="I36" s="33"/>
      <c r="J36" s="24">
        <v>229.75933383528846</v>
      </c>
      <c r="K36" s="24">
        <v>247.23814580129897</v>
      </c>
      <c r="L36" s="24">
        <v>255.388285801299</v>
      </c>
      <c r="M36" s="24">
        <v>273.89129537375004</v>
      </c>
      <c r="N36" s="33"/>
      <c r="O36" s="24">
        <v>229.0453338352885</v>
      </c>
      <c r="P36" s="24">
        <v>246.31334580129896</v>
      </c>
      <c r="Q36" s="24">
        <v>254.444989801299</v>
      </c>
      <c r="R36" s="24">
        <v>271.05909537375</v>
      </c>
      <c r="S36" s="33"/>
      <c r="T36" s="24">
        <v>227.8693338352885</v>
      </c>
      <c r="U36" s="24">
        <v>244.790145801299</v>
      </c>
      <c r="V36" s="24">
        <v>252.891325801299</v>
      </c>
      <c r="W36" s="24">
        <v>266.39429537374997</v>
      </c>
      <c r="X36" s="35"/>
    </row>
    <row r="37" spans="1:24" ht="12.75">
      <c r="A37" s="27" t="s">
        <v>11</v>
      </c>
      <c r="B37" s="23">
        <v>146.7261021760684</v>
      </c>
      <c r="C37" s="25">
        <v>372.57743799720964</v>
      </c>
      <c r="D37" s="33"/>
      <c r="E37" s="24">
        <v>408.1574379972096</v>
      </c>
      <c r="F37" s="24">
        <v>490.77296140999664</v>
      </c>
      <c r="G37" s="24">
        <v>542.3779595356712</v>
      </c>
      <c r="H37" s="24">
        <v>609.1307995356713</v>
      </c>
      <c r="I37" s="33"/>
      <c r="J37" s="24">
        <v>418.3124379972096</v>
      </c>
      <c r="K37" s="24">
        <v>499.4813995356712</v>
      </c>
      <c r="L37" s="24">
        <v>553.4450995356711</v>
      </c>
      <c r="M37" s="24">
        <v>625.1243995356712</v>
      </c>
      <c r="N37" s="33"/>
      <c r="O37" s="24">
        <v>417.59843799720966</v>
      </c>
      <c r="P37" s="24">
        <v>497.5773995356712</v>
      </c>
      <c r="Q37" s="24">
        <v>551.5030195356711</v>
      </c>
      <c r="R37" s="24">
        <v>622.2921995356712</v>
      </c>
      <c r="S37" s="33"/>
      <c r="T37" s="24">
        <v>414.27743799720963</v>
      </c>
      <c r="U37" s="24">
        <v>494.44139953567117</v>
      </c>
      <c r="V37" s="24">
        <v>548.3042995356711</v>
      </c>
      <c r="W37" s="24">
        <v>617.6273995356712</v>
      </c>
      <c r="X37" s="35"/>
    </row>
    <row r="38" spans="1:24" ht="12.75">
      <c r="A38" s="27" t="s">
        <v>12</v>
      </c>
      <c r="B38" s="23">
        <v>127.2225586275902</v>
      </c>
      <c r="C38" s="24">
        <v>250.5168872741135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409.8199914360347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269.4698872741135</v>
      </c>
      <c r="F40" s="24">
        <v>290.168246072849</v>
      </c>
      <c r="G40" s="24">
        <v>301.3590308591125</v>
      </c>
      <c r="H40" s="24">
        <v>303.24281848668363</v>
      </c>
      <c r="I40" s="33"/>
      <c r="J40" s="24">
        <v>273.50188727411347</v>
      </c>
      <c r="K40" s="24">
        <v>298.5843588591125</v>
      </c>
      <c r="L40" s="24">
        <v>306.7344988591125</v>
      </c>
      <c r="M40" s="24">
        <v>317.633848812575</v>
      </c>
      <c r="N40" s="33"/>
      <c r="O40" s="24">
        <v>272.7878872741135</v>
      </c>
      <c r="P40" s="24">
        <v>297.6595588591125</v>
      </c>
      <c r="Q40" s="24">
        <v>305.7912028591125</v>
      </c>
      <c r="R40" s="24">
        <v>314.801648812575</v>
      </c>
      <c r="S40" s="33"/>
      <c r="T40" s="24">
        <v>271.6118872741135</v>
      </c>
      <c r="U40" s="24">
        <v>295.880246072849</v>
      </c>
      <c r="V40" s="24">
        <v>304.23753885911253</v>
      </c>
      <c r="W40" s="24">
        <v>310.136848812575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281.92288727411346</v>
      </c>
      <c r="F41" s="24">
        <v>309.4915588591125</v>
      </c>
      <c r="G41" s="24">
        <v>335.68796881257504</v>
      </c>
      <c r="H41" s="24">
        <v>373.128</v>
      </c>
      <c r="I41" s="33"/>
      <c r="J41" s="24">
        <v>289.9868872741135</v>
      </c>
      <c r="K41" s="24">
        <v>324.26284881257504</v>
      </c>
      <c r="L41" s="24">
        <v>357.822248812575</v>
      </c>
      <c r="M41" s="24">
        <v>464.52000000000004</v>
      </c>
      <c r="N41" s="33"/>
      <c r="O41" s="24">
        <v>288.5588872741135</v>
      </c>
      <c r="P41" s="24">
        <v>320.45484881257505</v>
      </c>
      <c r="Q41" s="24">
        <v>353.938088812575</v>
      </c>
      <c r="R41" s="24">
        <v>448.33599999999996</v>
      </c>
      <c r="S41" s="33"/>
      <c r="T41" s="24">
        <v>286.20688727411346</v>
      </c>
      <c r="U41" s="24">
        <v>315.04035885911253</v>
      </c>
      <c r="V41" s="24">
        <v>347.540648812575</v>
      </c>
      <c r="W41" s="24">
        <v>421.68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438.52299143603466</v>
      </c>
      <c r="F42" s="24">
        <v>459.22135023477017</v>
      </c>
      <c r="G42" s="24">
        <v>467.4262409293487</v>
      </c>
      <c r="H42" s="24">
        <v>477.36581250709486</v>
      </c>
      <c r="I42" s="33"/>
      <c r="J42" s="24">
        <v>442.5549914360347</v>
      </c>
      <c r="K42" s="24">
        <v>469.97335023477024</v>
      </c>
      <c r="L42" s="24">
        <v>476.20241292934867</v>
      </c>
      <c r="M42" s="24">
        <v>490.0934925070949</v>
      </c>
      <c r="N42" s="33"/>
      <c r="O42" s="24">
        <v>441.8409914360347</v>
      </c>
      <c r="P42" s="24">
        <v>468.06935023477024</v>
      </c>
      <c r="Q42" s="24">
        <v>474.6569089293487</v>
      </c>
      <c r="R42" s="24">
        <v>487.83963250709485</v>
      </c>
      <c r="S42" s="33"/>
      <c r="T42" s="24">
        <v>440.66499143603465</v>
      </c>
      <c r="U42" s="24">
        <v>464.93335023477016</v>
      </c>
      <c r="V42" s="24">
        <v>472.1113729293487</v>
      </c>
      <c r="W42" s="24">
        <v>484.1273925070949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450.97599143603463</v>
      </c>
      <c r="F43" s="24">
        <v>546.1799529744962</v>
      </c>
      <c r="G43" s="24">
        <v>616.2930729744961</v>
      </c>
      <c r="H43" s="24">
        <v>698.6707529744962</v>
      </c>
      <c r="I43" s="33"/>
      <c r="J43" s="24">
        <v>459.03999143603465</v>
      </c>
      <c r="K43" s="24">
        <v>567.6839529744962</v>
      </c>
      <c r="L43" s="24">
        <v>638.4273529744962</v>
      </c>
      <c r="M43" s="24">
        <v>730.6579529744961</v>
      </c>
      <c r="N43" s="33"/>
      <c r="O43" s="24">
        <v>457.6119914360347</v>
      </c>
      <c r="P43" s="24">
        <v>563.8759529744962</v>
      </c>
      <c r="Q43" s="24">
        <v>634.5431929744962</v>
      </c>
      <c r="R43" s="24">
        <v>724.9935529744962</v>
      </c>
      <c r="S43" s="33"/>
      <c r="T43" s="24">
        <v>455.2599914360346</v>
      </c>
      <c r="U43" s="24">
        <v>557.6039529744962</v>
      </c>
      <c r="V43" s="24">
        <v>628.1457529744962</v>
      </c>
      <c r="W43" s="24">
        <v>715.6639529744962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456.34299143603465</v>
      </c>
      <c r="F44" s="24">
        <v>477.04135023477016</v>
      </c>
      <c r="G44" s="24">
        <v>485.2462409293487</v>
      </c>
      <c r="H44" s="24">
        <v>495.18581250709485</v>
      </c>
      <c r="I44" s="33"/>
      <c r="J44" s="24">
        <v>460.37499143603463</v>
      </c>
      <c r="K44" s="24">
        <v>487.7933502347702</v>
      </c>
      <c r="L44" s="24">
        <v>494.02241292934866</v>
      </c>
      <c r="M44" s="24">
        <v>507.9134925070948</v>
      </c>
      <c r="N44" s="33"/>
      <c r="O44" s="24">
        <v>459.6609914360347</v>
      </c>
      <c r="P44" s="24">
        <v>485.8893502347702</v>
      </c>
      <c r="Q44" s="24">
        <v>492.47690892934867</v>
      </c>
      <c r="R44" s="24">
        <v>505.6596325070949</v>
      </c>
      <c r="S44" s="33"/>
      <c r="T44" s="24">
        <v>458.48499143603465</v>
      </c>
      <c r="U44" s="24">
        <v>482.7533502347702</v>
      </c>
      <c r="V44" s="24">
        <v>489.93137292934864</v>
      </c>
      <c r="W44" s="24">
        <v>501.94739250709483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468.7959914360347</v>
      </c>
      <c r="F45" s="24">
        <v>563.9999529744962</v>
      </c>
      <c r="G45" s="24">
        <v>634.1130729744962</v>
      </c>
      <c r="H45" s="24">
        <v>716.4907529744962</v>
      </c>
      <c r="I45" s="33"/>
      <c r="J45" s="24">
        <v>476.85999143603465</v>
      </c>
      <c r="K45" s="24">
        <v>585.5039529744962</v>
      </c>
      <c r="L45" s="24">
        <v>656.2473529744962</v>
      </c>
      <c r="M45" s="24">
        <v>748.4779529744962</v>
      </c>
      <c r="N45" s="33"/>
      <c r="O45" s="24">
        <v>475.4319914360347</v>
      </c>
      <c r="P45" s="24">
        <v>581.6959529744962</v>
      </c>
      <c r="Q45" s="24">
        <v>652.3631929744962</v>
      </c>
      <c r="R45" s="24">
        <v>742.8135529744961</v>
      </c>
      <c r="S45" s="33"/>
      <c r="T45" s="24">
        <v>473.0799914360347</v>
      </c>
      <c r="U45" s="24">
        <v>575.4239529744962</v>
      </c>
      <c r="V45" s="24">
        <v>645.9657529744961</v>
      </c>
      <c r="W45" s="24">
        <v>733.4839529744961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521.3056236400597</v>
      </c>
      <c r="F46" s="24">
        <v>542.0039824387952</v>
      </c>
      <c r="G46" s="24">
        <v>552.1406429273501</v>
      </c>
      <c r="H46" s="24">
        <v>562.0802145050963</v>
      </c>
      <c r="I46" s="33"/>
      <c r="J46" s="24">
        <v>525.3376236400596</v>
      </c>
      <c r="K46" s="24">
        <v>552.7559824387952</v>
      </c>
      <c r="L46" s="24">
        <v>560.9168149273501</v>
      </c>
      <c r="M46" s="24">
        <v>574.8078945050963</v>
      </c>
      <c r="N46" s="33"/>
      <c r="O46" s="24">
        <v>524.6236236400597</v>
      </c>
      <c r="P46" s="24">
        <v>550.8519824387952</v>
      </c>
      <c r="Q46" s="24">
        <v>559.3713109273501</v>
      </c>
      <c r="R46" s="24">
        <v>572.5540345050963</v>
      </c>
      <c r="S46" s="33"/>
      <c r="T46" s="24">
        <v>523.4476236400596</v>
      </c>
      <c r="U46" s="24">
        <v>547.7159824387952</v>
      </c>
      <c r="V46" s="24">
        <v>556.82577492735</v>
      </c>
      <c r="W46" s="24">
        <v>568.8417945050962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533.7586236400597</v>
      </c>
      <c r="F47" s="24">
        <v>666.1465851785211</v>
      </c>
      <c r="G47" s="24">
        <v>754.8517051785211</v>
      </c>
      <c r="H47" s="24">
        <v>822.1787485635214</v>
      </c>
      <c r="I47" s="33"/>
      <c r="J47" s="24">
        <v>541.8226236400596</v>
      </c>
      <c r="K47" s="24">
        <v>687.6505851785212</v>
      </c>
      <c r="L47" s="24">
        <v>776.9859851785211</v>
      </c>
      <c r="M47" s="24">
        <v>854.1659485635213</v>
      </c>
      <c r="N47" s="33"/>
      <c r="O47" s="24">
        <v>540.3946236400598</v>
      </c>
      <c r="P47" s="24">
        <v>683.8425851785212</v>
      </c>
      <c r="Q47" s="24">
        <v>773.1018251785212</v>
      </c>
      <c r="R47" s="24">
        <v>848.5015485635213</v>
      </c>
      <c r="S47" s="33"/>
      <c r="T47" s="24">
        <v>538.0426236400597</v>
      </c>
      <c r="U47" s="24">
        <v>677.5705851785212</v>
      </c>
      <c r="V47" s="24">
        <v>766.7043851785211</v>
      </c>
      <c r="W47" s="24">
        <v>839.1719485635213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535.58</v>
      </c>
      <c r="F48" s="24">
        <v>594.8800000000001</v>
      </c>
      <c r="G48" s="24">
        <v>615.7850449253515</v>
      </c>
      <c r="H48" s="24">
        <v>625.7246165030976</v>
      </c>
      <c r="I48" s="33"/>
      <c r="J48" s="24">
        <v>547.0999999999999</v>
      </c>
      <c r="K48" s="24">
        <v>614.4686146428203</v>
      </c>
      <c r="L48" s="24">
        <v>624.5612169253515</v>
      </c>
      <c r="M48" s="24">
        <v>638.4522965030977</v>
      </c>
      <c r="N48" s="33"/>
      <c r="O48" s="24">
        <v>545.06</v>
      </c>
      <c r="P48" s="24">
        <v>612.5646146428203</v>
      </c>
      <c r="Q48" s="24">
        <v>623.0157129253515</v>
      </c>
      <c r="R48" s="24">
        <v>636.1984365030976</v>
      </c>
      <c r="S48" s="33"/>
      <c r="T48" s="24">
        <v>541.6999999999999</v>
      </c>
      <c r="U48" s="24">
        <v>609.4286146428202</v>
      </c>
      <c r="V48" s="24">
        <v>620.4701769253516</v>
      </c>
      <c r="W48" s="24">
        <v>632.4861965030977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571.16</v>
      </c>
      <c r="F49" s="24">
        <v>765.0432173825461</v>
      </c>
      <c r="G49" s="24">
        <v>852.6417007675464</v>
      </c>
      <c r="H49" s="24">
        <v>883.8913807675463</v>
      </c>
      <c r="I49" s="33"/>
      <c r="J49" s="24">
        <v>594.1999999999999</v>
      </c>
      <c r="K49" s="24">
        <v>786.5472173825463</v>
      </c>
      <c r="L49" s="24">
        <v>874.7759807675462</v>
      </c>
      <c r="M49" s="24">
        <v>915.8785807675463</v>
      </c>
      <c r="N49" s="33"/>
      <c r="O49" s="24">
        <v>590.1199999999999</v>
      </c>
      <c r="P49" s="24">
        <v>782.7392173825463</v>
      </c>
      <c r="Q49" s="24">
        <v>870.8918207675463</v>
      </c>
      <c r="R49" s="24">
        <v>910.2141807675463</v>
      </c>
      <c r="S49" s="33"/>
      <c r="T49" s="24">
        <v>583.4000000000001</v>
      </c>
      <c r="U49" s="24">
        <v>776.4672173825461</v>
      </c>
      <c r="V49" s="24">
        <v>864.4943807675463</v>
      </c>
      <c r="W49" s="24">
        <v>900.8845807675464</v>
      </c>
      <c r="X49" s="35"/>
    </row>
    <row r="50" spans="1:24" ht="24">
      <c r="A50" s="18" t="s">
        <v>26</v>
      </c>
      <c r="B50" s="13" t="s">
        <v>8</v>
      </c>
      <c r="C50" s="14" t="s">
        <v>29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145.20433383528848</v>
      </c>
      <c r="D51" s="33"/>
      <c r="E51" s="24">
        <v>157.65733383528848</v>
      </c>
      <c r="F51" s="24">
        <v>173.94574580129898</v>
      </c>
      <c r="G51" s="24">
        <v>181.942817801299</v>
      </c>
      <c r="H51" s="24">
        <v>190.36463496624515</v>
      </c>
      <c r="I51" s="33"/>
      <c r="J51" s="24">
        <v>161.6893338352885</v>
      </c>
      <c r="K51" s="24">
        <v>179.16814580129898</v>
      </c>
      <c r="L51" s="24">
        <v>187.318285801299</v>
      </c>
      <c r="M51" s="24">
        <v>232.26000000000002</v>
      </c>
      <c r="N51" s="33"/>
      <c r="O51" s="24">
        <v>160.9753338352885</v>
      </c>
      <c r="P51" s="24">
        <v>178.24334580129897</v>
      </c>
      <c r="Q51" s="24">
        <v>186.374989801299</v>
      </c>
      <c r="R51" s="24">
        <v>224.16799999999998</v>
      </c>
      <c r="S51" s="33"/>
      <c r="T51" s="24">
        <v>159.79933383528848</v>
      </c>
      <c r="U51" s="24">
        <v>176.720145801299</v>
      </c>
      <c r="V51" s="24">
        <v>184.821325801299</v>
      </c>
      <c r="W51" s="24">
        <v>210.84</v>
      </c>
      <c r="X51" s="35"/>
    </row>
    <row r="52" spans="1:24" ht="12.75">
      <c r="A52" s="22" t="s">
        <v>11</v>
      </c>
      <c r="B52" s="23">
        <v>68.22242714955922</v>
      </c>
      <c r="C52" s="24">
        <v>294.06743799720965</v>
      </c>
      <c r="D52" s="33"/>
      <c r="E52" s="24">
        <v>329.64743799720964</v>
      </c>
      <c r="F52" s="24">
        <v>412.74846140999665</v>
      </c>
      <c r="G52" s="24">
        <v>464.35345953567116</v>
      </c>
      <c r="H52" s="24">
        <v>531.1062995356713</v>
      </c>
      <c r="I52" s="33"/>
      <c r="J52" s="24">
        <v>340.2879379972096</v>
      </c>
      <c r="K52" s="24">
        <v>421.4568995356712</v>
      </c>
      <c r="L52" s="24">
        <v>475.42059953567116</v>
      </c>
      <c r="M52" s="24">
        <v>547.0998995356713</v>
      </c>
      <c r="N52" s="33"/>
      <c r="O52" s="24">
        <v>339.12743799720965</v>
      </c>
      <c r="P52" s="24">
        <v>419.5528995356712</v>
      </c>
      <c r="Q52" s="24">
        <v>473.4785195356711</v>
      </c>
      <c r="R52" s="24">
        <v>544.2676995356712</v>
      </c>
      <c r="S52" s="33"/>
      <c r="T52" s="24">
        <v>335.76743799720964</v>
      </c>
      <c r="U52" s="24">
        <v>416.4168995356712</v>
      </c>
      <c r="V52" s="24">
        <v>470.27979953567115</v>
      </c>
      <c r="W52" s="24">
        <v>539.6028995356712</v>
      </c>
      <c r="X52" s="35"/>
    </row>
    <row r="53" spans="1:24" ht="12.75">
      <c r="A53" s="22" t="s">
        <v>12</v>
      </c>
      <c r="B53" s="23">
        <v>59.1539719860898</v>
      </c>
      <c r="C53" s="24">
        <v>182.4468872741135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331.3099914360347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201.3998872741135</v>
      </c>
      <c r="F55" s="24">
        <v>222.098246072849</v>
      </c>
      <c r="G55" s="24">
        <v>233.28903085911253</v>
      </c>
      <c r="H55" s="24">
        <v>235.17281848668364</v>
      </c>
      <c r="I55" s="33"/>
      <c r="J55" s="24">
        <v>205.43188727411348</v>
      </c>
      <c r="K55" s="24">
        <v>230.51435885911252</v>
      </c>
      <c r="L55" s="24">
        <v>238.66449885911248</v>
      </c>
      <c r="M55" s="24">
        <v>249.56384881257503</v>
      </c>
      <c r="N55" s="33"/>
      <c r="O55" s="24">
        <v>204.7178872741135</v>
      </c>
      <c r="P55" s="24">
        <v>229.58955885911251</v>
      </c>
      <c r="Q55" s="24">
        <v>237.7212028591125</v>
      </c>
      <c r="R55" s="24">
        <v>246.73164881257503</v>
      </c>
      <c r="S55" s="33"/>
      <c r="T55" s="24">
        <v>203.5418872741135</v>
      </c>
      <c r="U55" s="24">
        <v>227.810246072849</v>
      </c>
      <c r="V55" s="24">
        <v>236.1675388591125</v>
      </c>
      <c r="W55" s="24">
        <v>242.06684881257502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213.8528872741135</v>
      </c>
      <c r="F56" s="24">
        <v>241.4215588591125</v>
      </c>
      <c r="G56" s="24">
        <v>283.84319999999997</v>
      </c>
      <c r="H56" s="24">
        <v>373.128</v>
      </c>
      <c r="I56" s="33"/>
      <c r="J56" s="24">
        <v>221.9168872741135</v>
      </c>
      <c r="K56" s="24">
        <v>256.192848812575</v>
      </c>
      <c r="L56" s="24">
        <v>347.08399999999995</v>
      </c>
      <c r="M56" s="24">
        <v>464.52000000000004</v>
      </c>
      <c r="N56" s="33"/>
      <c r="O56" s="24">
        <v>220.4888872741135</v>
      </c>
      <c r="P56" s="24">
        <v>252.38484881257503</v>
      </c>
      <c r="Q56" s="24">
        <v>335.9864</v>
      </c>
      <c r="R56" s="24">
        <v>448.33599999999996</v>
      </c>
      <c r="S56" s="33"/>
      <c r="T56" s="24">
        <v>218.1368872741135</v>
      </c>
      <c r="U56" s="24">
        <v>246.9703588591125</v>
      </c>
      <c r="V56" s="24">
        <v>317.70799999999997</v>
      </c>
      <c r="W56" s="24">
        <v>421.68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360.01299143603467</v>
      </c>
      <c r="F57" s="24">
        <v>380.7113502347702</v>
      </c>
      <c r="G57" s="24">
        <v>388.9162409293487</v>
      </c>
      <c r="H57" s="24">
        <v>398.85581250709487</v>
      </c>
      <c r="I57" s="33"/>
      <c r="J57" s="24">
        <v>364.0449914360347</v>
      </c>
      <c r="K57" s="24">
        <v>391.46335023477025</v>
      </c>
      <c r="L57" s="24">
        <v>397.6924129293487</v>
      </c>
      <c r="M57" s="24">
        <v>411.5834925070949</v>
      </c>
      <c r="N57" s="33"/>
      <c r="O57" s="24">
        <v>363.3309914360347</v>
      </c>
      <c r="P57" s="24">
        <v>389.55935023477025</v>
      </c>
      <c r="Q57" s="24">
        <v>396.1469089293487</v>
      </c>
      <c r="R57" s="24">
        <v>409.32963250709486</v>
      </c>
      <c r="S57" s="33"/>
      <c r="T57" s="24">
        <v>362.15499143603466</v>
      </c>
      <c r="U57" s="24">
        <v>386.42335023477017</v>
      </c>
      <c r="V57" s="24">
        <v>393.6013729293487</v>
      </c>
      <c r="W57" s="24">
        <v>405.6173925070949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372.4659914360347</v>
      </c>
      <c r="F58" s="24">
        <v>467.66995297449625</v>
      </c>
      <c r="G58" s="24">
        <v>537.7830729744961</v>
      </c>
      <c r="H58" s="24">
        <v>620.1607529744962</v>
      </c>
      <c r="I58" s="33"/>
      <c r="J58" s="24">
        <v>380.5299914360347</v>
      </c>
      <c r="K58" s="24">
        <v>489.17395297449616</v>
      </c>
      <c r="L58" s="24">
        <v>559.9173529744962</v>
      </c>
      <c r="M58" s="24">
        <v>652.1479529744961</v>
      </c>
      <c r="N58" s="33"/>
      <c r="O58" s="24">
        <v>379.1019914360347</v>
      </c>
      <c r="P58" s="24">
        <v>485.36595297449617</v>
      </c>
      <c r="Q58" s="24">
        <v>556.0331929744962</v>
      </c>
      <c r="R58" s="24">
        <v>646.4835529744962</v>
      </c>
      <c r="S58" s="33"/>
      <c r="T58" s="24">
        <v>376.7499914360347</v>
      </c>
      <c r="U58" s="24">
        <v>479.09395297449623</v>
      </c>
      <c r="V58" s="24">
        <v>549.6357529744962</v>
      </c>
      <c r="W58" s="24">
        <v>637.1539529744962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368.30299143603463</v>
      </c>
      <c r="F59" s="24">
        <v>389.00135023477014</v>
      </c>
      <c r="G59" s="24">
        <v>397.20624092934867</v>
      </c>
      <c r="H59" s="24">
        <v>407.14581250709483</v>
      </c>
      <c r="I59" s="33"/>
      <c r="J59" s="24">
        <v>372.33499143603467</v>
      </c>
      <c r="K59" s="24">
        <v>399.7533502347702</v>
      </c>
      <c r="L59" s="24">
        <v>405.98241292934864</v>
      </c>
      <c r="M59" s="24">
        <v>419.87349250709485</v>
      </c>
      <c r="N59" s="33"/>
      <c r="O59" s="24">
        <v>371.62099143603467</v>
      </c>
      <c r="P59" s="24">
        <v>397.8493502347702</v>
      </c>
      <c r="Q59" s="24">
        <v>404.43690892934865</v>
      </c>
      <c r="R59" s="24">
        <v>417.6196325070948</v>
      </c>
      <c r="S59" s="33"/>
      <c r="T59" s="24">
        <v>370.4449914360346</v>
      </c>
      <c r="U59" s="24">
        <v>394.71335023477013</v>
      </c>
      <c r="V59" s="24">
        <v>401.8913729293487</v>
      </c>
      <c r="W59" s="24">
        <v>413.90739250709487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380.7559914360346</v>
      </c>
      <c r="F60" s="24">
        <v>475.9599529744962</v>
      </c>
      <c r="G60" s="24">
        <v>546.0730729744961</v>
      </c>
      <c r="H60" s="24">
        <v>628.4507529744961</v>
      </c>
      <c r="I60" s="33"/>
      <c r="J60" s="24">
        <v>388.8199914360347</v>
      </c>
      <c r="K60" s="24">
        <v>497.4639529744961</v>
      </c>
      <c r="L60" s="24">
        <v>568.2073529744962</v>
      </c>
      <c r="M60" s="24">
        <v>660.437952974496</v>
      </c>
      <c r="N60" s="33"/>
      <c r="O60" s="24">
        <v>387.3919914360347</v>
      </c>
      <c r="P60" s="24">
        <v>493.65595297449613</v>
      </c>
      <c r="Q60" s="24">
        <v>564.3231929744961</v>
      </c>
      <c r="R60" s="24">
        <v>654.7735529744962</v>
      </c>
      <c r="S60" s="33"/>
      <c r="T60" s="24">
        <v>385.03999143603465</v>
      </c>
      <c r="U60" s="24">
        <v>487.3839529744962</v>
      </c>
      <c r="V60" s="24">
        <v>557.9257529744962</v>
      </c>
      <c r="W60" s="24">
        <v>645.4439529744961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433.26562364005963</v>
      </c>
      <c r="F61" s="24">
        <v>453.96398243879514</v>
      </c>
      <c r="G61" s="24">
        <v>464.10064292735007</v>
      </c>
      <c r="H61" s="24">
        <v>474.04021450509623</v>
      </c>
      <c r="I61" s="33"/>
      <c r="J61" s="24">
        <v>437.29762364005967</v>
      </c>
      <c r="K61" s="24">
        <v>464.7159824387952</v>
      </c>
      <c r="L61" s="24">
        <v>472.87681492735004</v>
      </c>
      <c r="M61" s="24">
        <v>486.76789450509625</v>
      </c>
      <c r="N61" s="33"/>
      <c r="O61" s="24">
        <v>436.58362364005967</v>
      </c>
      <c r="P61" s="24">
        <v>462.8119824387952</v>
      </c>
      <c r="Q61" s="24">
        <v>471.33131092735005</v>
      </c>
      <c r="R61" s="24">
        <v>484.5140345050962</v>
      </c>
      <c r="S61" s="33"/>
      <c r="T61" s="24">
        <v>435.4076236400597</v>
      </c>
      <c r="U61" s="24">
        <v>459.6759824387952</v>
      </c>
      <c r="V61" s="24">
        <v>468.7857749273501</v>
      </c>
      <c r="W61" s="24">
        <v>480.80179450509627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445.71862364005966</v>
      </c>
      <c r="F62" s="24">
        <v>578.1065851785212</v>
      </c>
      <c r="G62" s="24">
        <v>666.8117051785212</v>
      </c>
      <c r="H62" s="24">
        <v>734.1387485635212</v>
      </c>
      <c r="I62" s="33"/>
      <c r="J62" s="24">
        <v>453.7826236400596</v>
      </c>
      <c r="K62" s="24">
        <v>599.6105851785212</v>
      </c>
      <c r="L62" s="24">
        <v>688.9459851785211</v>
      </c>
      <c r="M62" s="24">
        <v>766.1259485635212</v>
      </c>
      <c r="N62" s="33"/>
      <c r="O62" s="24">
        <v>452.3546236400597</v>
      </c>
      <c r="P62" s="24">
        <v>595.8025851785212</v>
      </c>
      <c r="Q62" s="24">
        <v>685.0618251785212</v>
      </c>
      <c r="R62" s="24">
        <v>760.4615485635212</v>
      </c>
      <c r="S62" s="33"/>
      <c r="T62" s="24">
        <v>450.00262364005965</v>
      </c>
      <c r="U62" s="24">
        <v>589.5305851785213</v>
      </c>
      <c r="V62" s="24">
        <v>678.6643851785211</v>
      </c>
      <c r="W62" s="24">
        <v>751.1319485635213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494.9782558440847</v>
      </c>
      <c r="F63" s="24">
        <v>515.6766146428201</v>
      </c>
      <c r="G63" s="24">
        <v>527.7450449253515</v>
      </c>
      <c r="H63" s="24">
        <v>537.6846165030977</v>
      </c>
      <c r="I63" s="33"/>
      <c r="J63" s="24">
        <v>499.01025584408467</v>
      </c>
      <c r="K63" s="24">
        <v>526.4286146428202</v>
      </c>
      <c r="L63" s="24">
        <v>536.5212169253515</v>
      </c>
      <c r="M63" s="24">
        <v>550.4122965030977</v>
      </c>
      <c r="N63" s="33"/>
      <c r="O63" s="24">
        <v>498.2962558440847</v>
      </c>
      <c r="P63" s="24">
        <v>524.5246146428202</v>
      </c>
      <c r="Q63" s="24">
        <v>534.9757129253514</v>
      </c>
      <c r="R63" s="24">
        <v>548.1584365030976</v>
      </c>
      <c r="S63" s="33"/>
      <c r="T63" s="24">
        <v>497.1202558440847</v>
      </c>
      <c r="U63" s="24">
        <v>521.3886146428201</v>
      </c>
      <c r="V63" s="24">
        <v>532.4301769253516</v>
      </c>
      <c r="W63" s="24">
        <v>544.4461965030977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507.43125584408466</v>
      </c>
      <c r="F64" s="40">
        <v>677.0032173825462</v>
      </c>
      <c r="G64" s="40">
        <v>764.6017007675462</v>
      </c>
      <c r="H64" s="40">
        <v>795.8513807675463</v>
      </c>
      <c r="I64" s="33"/>
      <c r="J64" s="40">
        <v>515.4952558440847</v>
      </c>
      <c r="K64" s="40">
        <v>698.5072173825463</v>
      </c>
      <c r="L64" s="40">
        <v>786.7359807675462</v>
      </c>
      <c r="M64" s="40">
        <v>827.8385807675461</v>
      </c>
      <c r="N64" s="33"/>
      <c r="O64" s="40">
        <v>514.0672558440847</v>
      </c>
      <c r="P64" s="40">
        <v>694.6992173825463</v>
      </c>
      <c r="Q64" s="40">
        <v>782.8518207675462</v>
      </c>
      <c r="R64" s="40">
        <v>822.1741807675462</v>
      </c>
      <c r="S64" s="33"/>
      <c r="T64" s="40">
        <v>511.71525584408465</v>
      </c>
      <c r="U64" s="40">
        <v>688.4272173825461</v>
      </c>
      <c r="V64" s="40">
        <v>776.4543807675461</v>
      </c>
      <c r="W64" s="41">
        <v>812.8445807675462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2.7109375" style="29" customWidth="1"/>
    <col min="4" max="7" width="9.140625" style="11" customWidth="1"/>
    <col min="8" max="8" width="2.7109375" style="29" customWidth="1"/>
    <col min="9" max="12" width="9.140625" style="11" customWidth="1"/>
    <col min="13" max="13" width="2.7109375" style="29" customWidth="1"/>
    <col min="14" max="16" width="9.140625" style="11" customWidth="1"/>
    <col min="17" max="17" width="10.57421875" style="11" customWidth="1"/>
    <col min="18" max="18" width="2.7109375" style="29" customWidth="1"/>
    <col min="19" max="22" width="9.140625" style="11" customWidth="1"/>
    <col min="23" max="23" width="2.7109375" style="29" customWidth="1"/>
    <col min="24" max="24" width="9.140625" style="36" customWidth="1"/>
    <col min="25" max="16384" width="9.140625" style="12" customWidth="1"/>
  </cols>
  <sheetData>
    <row r="1" spans="1:25" ht="24" customHeight="1">
      <c r="A1" s="111" t="s">
        <v>55</v>
      </c>
      <c r="C1" s="11"/>
      <c r="D1" s="29"/>
      <c r="H1" s="11"/>
      <c r="I1" s="29"/>
      <c r="M1" s="11"/>
      <c r="N1" s="29"/>
      <c r="R1" s="11"/>
      <c r="S1" s="29"/>
      <c r="W1" s="11"/>
      <c r="X1" s="29"/>
      <c r="Y1" s="36"/>
    </row>
    <row r="2" ht="18.75">
      <c r="A2" s="10" t="s">
        <v>32</v>
      </c>
    </row>
    <row r="3" ht="12.75">
      <c r="A3" s="31" t="s">
        <v>31</v>
      </c>
    </row>
    <row r="4" spans="1:23" s="21" customFormat="1" ht="33.75" customHeight="1">
      <c r="A4" s="19"/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4" s="16" customFormat="1" ht="27.75" customHeight="1">
      <c r="A5" s="18" t="s">
        <v>9</v>
      </c>
      <c r="B5" s="13" t="s">
        <v>8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  <c r="X5" s="37"/>
    </row>
    <row r="6" spans="1:23" ht="12.75">
      <c r="A6" s="22" t="s">
        <v>10</v>
      </c>
      <c r="B6" s="23">
        <v>200.05625406835097</v>
      </c>
      <c r="C6" s="33"/>
      <c r="D6" s="24">
        <v>26.76</v>
      </c>
      <c r="E6" s="24">
        <v>26.76</v>
      </c>
      <c r="F6" s="24">
        <v>26.76</v>
      </c>
      <c r="G6" s="24">
        <v>26.76</v>
      </c>
      <c r="H6" s="33"/>
      <c r="I6" s="24">
        <v>26.76</v>
      </c>
      <c r="J6" s="24">
        <v>26.76</v>
      </c>
      <c r="K6" s="24">
        <v>26.76</v>
      </c>
      <c r="L6" s="24">
        <v>26.76</v>
      </c>
      <c r="M6" s="33"/>
      <c r="N6" s="24">
        <v>26.76</v>
      </c>
      <c r="O6" s="24">
        <v>26.76</v>
      </c>
      <c r="P6" s="24">
        <v>26.76</v>
      </c>
      <c r="Q6" s="24">
        <v>26.76</v>
      </c>
      <c r="R6" s="33"/>
      <c r="S6" s="24">
        <v>26.76</v>
      </c>
      <c r="T6" s="24">
        <v>26.76</v>
      </c>
      <c r="U6" s="24">
        <v>26.76</v>
      </c>
      <c r="V6" s="24">
        <v>26.76</v>
      </c>
      <c r="W6" s="35"/>
    </row>
    <row r="7" spans="1:23" ht="12.75">
      <c r="A7" s="22" t="s">
        <v>11</v>
      </c>
      <c r="B7" s="23">
        <v>229.30359875081356</v>
      </c>
      <c r="C7" s="33"/>
      <c r="D7" s="24">
        <v>76.68</v>
      </c>
      <c r="E7" s="24">
        <v>159.88</v>
      </c>
      <c r="F7" s="24">
        <v>226.44</v>
      </c>
      <c r="G7" s="24">
        <v>317.96</v>
      </c>
      <c r="H7" s="33"/>
      <c r="I7" s="24">
        <v>76.68</v>
      </c>
      <c r="J7" s="24">
        <v>159.88</v>
      </c>
      <c r="K7" s="24">
        <v>226.44</v>
      </c>
      <c r="L7" s="24">
        <v>317.96</v>
      </c>
      <c r="M7" s="33"/>
      <c r="N7" s="24">
        <v>76.68</v>
      </c>
      <c r="O7" s="24">
        <v>159.88</v>
      </c>
      <c r="P7" s="24">
        <v>226.44</v>
      </c>
      <c r="Q7" s="24">
        <v>317.96</v>
      </c>
      <c r="R7" s="33"/>
      <c r="S7" s="24">
        <v>76.68</v>
      </c>
      <c r="T7" s="24">
        <v>159.88</v>
      </c>
      <c r="U7" s="24">
        <v>226.44</v>
      </c>
      <c r="V7" s="24">
        <v>317.96</v>
      </c>
      <c r="W7" s="35"/>
    </row>
    <row r="8" spans="1:23" ht="12.75">
      <c r="A8" s="22" t="s">
        <v>12</v>
      </c>
      <c r="B8" s="23">
        <v>200.05625406835097</v>
      </c>
      <c r="C8" s="33"/>
      <c r="D8" s="24">
        <v>0</v>
      </c>
      <c r="E8" s="24">
        <v>0</v>
      </c>
      <c r="F8" s="24">
        <v>0</v>
      </c>
      <c r="G8" s="24">
        <v>0</v>
      </c>
      <c r="H8" s="33"/>
      <c r="I8" s="24">
        <v>0</v>
      </c>
      <c r="J8" s="24">
        <v>0</v>
      </c>
      <c r="K8" s="24">
        <v>0</v>
      </c>
      <c r="L8" s="24">
        <v>0</v>
      </c>
      <c r="M8" s="33"/>
      <c r="N8" s="24">
        <v>0</v>
      </c>
      <c r="O8" s="24">
        <v>0</v>
      </c>
      <c r="P8" s="24">
        <v>0</v>
      </c>
      <c r="Q8" s="24">
        <v>0</v>
      </c>
      <c r="R8" s="33"/>
      <c r="S8" s="24">
        <v>0</v>
      </c>
      <c r="T8" s="24">
        <v>0</v>
      </c>
      <c r="U8" s="24">
        <v>0</v>
      </c>
      <c r="V8" s="24">
        <v>0</v>
      </c>
      <c r="W8" s="35"/>
    </row>
    <row r="9" spans="1:23" ht="12.75">
      <c r="A9" s="22" t="s">
        <v>13</v>
      </c>
      <c r="B9" s="23">
        <v>229.30359875081356</v>
      </c>
      <c r="C9" s="33"/>
      <c r="D9" s="24">
        <v>0</v>
      </c>
      <c r="E9" s="24">
        <v>0</v>
      </c>
      <c r="F9" s="24">
        <v>0</v>
      </c>
      <c r="G9" s="24">
        <v>0</v>
      </c>
      <c r="H9" s="33"/>
      <c r="I9" s="24">
        <v>0</v>
      </c>
      <c r="J9" s="24">
        <v>0</v>
      </c>
      <c r="K9" s="24">
        <v>0</v>
      </c>
      <c r="L9" s="24">
        <v>0</v>
      </c>
      <c r="M9" s="33"/>
      <c r="N9" s="24">
        <v>0</v>
      </c>
      <c r="O9" s="24">
        <v>0</v>
      </c>
      <c r="P9" s="24">
        <v>0</v>
      </c>
      <c r="Q9" s="24">
        <v>0</v>
      </c>
      <c r="R9" s="33"/>
      <c r="S9" s="24">
        <v>0</v>
      </c>
      <c r="T9" s="24">
        <v>0</v>
      </c>
      <c r="U9" s="24">
        <v>0</v>
      </c>
      <c r="V9" s="24">
        <v>0</v>
      </c>
      <c r="W9" s="35"/>
    </row>
    <row r="10" spans="1:23" ht="12.75">
      <c r="A10" s="22" t="s">
        <v>14</v>
      </c>
      <c r="B10" s="23">
        <v>200.05625406835097</v>
      </c>
      <c r="C10" s="33"/>
      <c r="D10" s="24">
        <v>26.76</v>
      </c>
      <c r="E10" s="24">
        <v>26.76</v>
      </c>
      <c r="F10" s="24">
        <v>26.76</v>
      </c>
      <c r="G10" s="24">
        <v>26.76</v>
      </c>
      <c r="H10" s="33"/>
      <c r="I10" s="25">
        <v>26.76</v>
      </c>
      <c r="J10" s="24">
        <v>26.76</v>
      </c>
      <c r="K10" s="24">
        <v>26.76</v>
      </c>
      <c r="L10" s="24">
        <v>26.76</v>
      </c>
      <c r="M10" s="33"/>
      <c r="N10" s="24">
        <v>26.76</v>
      </c>
      <c r="O10" s="24">
        <v>26.76</v>
      </c>
      <c r="P10" s="24">
        <v>26.76</v>
      </c>
      <c r="Q10" s="24">
        <v>26.76</v>
      </c>
      <c r="R10" s="33"/>
      <c r="S10" s="24">
        <v>26.76</v>
      </c>
      <c r="T10" s="24">
        <v>26.76</v>
      </c>
      <c r="U10" s="24">
        <v>26.76</v>
      </c>
      <c r="V10" s="24">
        <v>26.76</v>
      </c>
      <c r="W10" s="35"/>
    </row>
    <row r="11" spans="1:23" ht="12.75">
      <c r="A11" s="22" t="s">
        <v>15</v>
      </c>
      <c r="B11" s="23">
        <v>200.05625406835097</v>
      </c>
      <c r="C11" s="33"/>
      <c r="D11" s="24">
        <v>53.52</v>
      </c>
      <c r="E11" s="24">
        <v>53.52</v>
      </c>
      <c r="F11" s="24">
        <v>53.52</v>
      </c>
      <c r="G11" s="24">
        <v>53.52</v>
      </c>
      <c r="H11" s="33"/>
      <c r="I11" s="24">
        <v>53.52</v>
      </c>
      <c r="J11" s="24">
        <v>53.52</v>
      </c>
      <c r="K11" s="24">
        <v>53.52</v>
      </c>
      <c r="L11" s="24">
        <v>53.52</v>
      </c>
      <c r="M11" s="33"/>
      <c r="N11" s="24">
        <v>53.52</v>
      </c>
      <c r="O11" s="24">
        <v>53.52</v>
      </c>
      <c r="P11" s="24">
        <v>53.52</v>
      </c>
      <c r="Q11" s="24">
        <v>53.52</v>
      </c>
      <c r="R11" s="33"/>
      <c r="S11" s="24">
        <v>53.52</v>
      </c>
      <c r="T11" s="25">
        <v>53.52</v>
      </c>
      <c r="U11" s="24">
        <v>53.52</v>
      </c>
      <c r="V11" s="24">
        <v>53.52</v>
      </c>
      <c r="W11" s="35"/>
    </row>
    <row r="12" spans="1:23" ht="12.75">
      <c r="A12" s="22" t="s">
        <v>16</v>
      </c>
      <c r="B12" s="23">
        <v>229.30359875081356</v>
      </c>
      <c r="C12" s="33"/>
      <c r="D12" s="24">
        <v>26.76</v>
      </c>
      <c r="E12" s="24">
        <v>26.76</v>
      </c>
      <c r="F12" s="24">
        <v>26.76</v>
      </c>
      <c r="G12" s="24">
        <v>26.76</v>
      </c>
      <c r="H12" s="33"/>
      <c r="I12" s="24">
        <v>26.76</v>
      </c>
      <c r="J12" s="24">
        <v>26.76</v>
      </c>
      <c r="K12" s="24">
        <v>26.76</v>
      </c>
      <c r="L12" s="24">
        <v>26.76</v>
      </c>
      <c r="M12" s="33"/>
      <c r="N12" s="24">
        <v>26.76</v>
      </c>
      <c r="O12" s="24">
        <v>26.76</v>
      </c>
      <c r="P12" s="24">
        <v>26.76</v>
      </c>
      <c r="Q12" s="24">
        <v>26.76</v>
      </c>
      <c r="R12" s="33"/>
      <c r="S12" s="24">
        <v>26.76</v>
      </c>
      <c r="T12" s="24">
        <v>26.76</v>
      </c>
      <c r="U12" s="24">
        <v>26.76</v>
      </c>
      <c r="V12" s="26">
        <v>26.76</v>
      </c>
      <c r="W12" s="35"/>
    </row>
    <row r="13" spans="1:23" ht="12.75">
      <c r="A13" s="22" t="s">
        <v>17</v>
      </c>
      <c r="B13" s="23">
        <v>229.30359875081356</v>
      </c>
      <c r="C13" s="33"/>
      <c r="D13" s="24">
        <v>103.44</v>
      </c>
      <c r="E13" s="24">
        <v>186.64</v>
      </c>
      <c r="F13" s="24">
        <v>253.2</v>
      </c>
      <c r="G13" s="24">
        <v>344.72</v>
      </c>
      <c r="H13" s="33"/>
      <c r="I13" s="24">
        <v>103.44</v>
      </c>
      <c r="J13" s="24">
        <v>186.64</v>
      </c>
      <c r="K13" s="24">
        <v>253.2</v>
      </c>
      <c r="L13" s="24">
        <v>344.72</v>
      </c>
      <c r="M13" s="33"/>
      <c r="N13" s="24">
        <v>103.44</v>
      </c>
      <c r="O13" s="24">
        <v>186.64</v>
      </c>
      <c r="P13" s="24">
        <v>253.2</v>
      </c>
      <c r="Q13" s="24">
        <v>344.72</v>
      </c>
      <c r="R13" s="33"/>
      <c r="S13" s="24">
        <v>103.44</v>
      </c>
      <c r="T13" s="24">
        <v>186.64</v>
      </c>
      <c r="U13" s="24">
        <v>253.2</v>
      </c>
      <c r="V13" s="24">
        <v>344.72</v>
      </c>
      <c r="W13" s="35"/>
    </row>
    <row r="14" spans="1:23" ht="12.75">
      <c r="A14" s="22" t="s">
        <v>18</v>
      </c>
      <c r="B14" s="23">
        <v>265.8999350974548</v>
      </c>
      <c r="C14" s="33"/>
      <c r="D14" s="24">
        <v>26.76</v>
      </c>
      <c r="E14" s="24">
        <v>26.76</v>
      </c>
      <c r="F14" s="24">
        <v>26.76</v>
      </c>
      <c r="G14" s="24">
        <v>26.76</v>
      </c>
      <c r="H14" s="33"/>
      <c r="I14" s="24">
        <v>26.76</v>
      </c>
      <c r="J14" s="25">
        <v>26.76</v>
      </c>
      <c r="K14" s="24">
        <v>26.76</v>
      </c>
      <c r="L14" s="24">
        <v>26.76</v>
      </c>
      <c r="M14" s="33"/>
      <c r="N14" s="24">
        <v>26.76</v>
      </c>
      <c r="O14" s="24">
        <v>26.76</v>
      </c>
      <c r="P14" s="24">
        <v>26.76</v>
      </c>
      <c r="Q14" s="24">
        <v>26.76</v>
      </c>
      <c r="R14" s="33"/>
      <c r="S14" s="24">
        <v>26.76</v>
      </c>
      <c r="T14" s="24">
        <v>26.76</v>
      </c>
      <c r="U14" s="24">
        <v>26.76</v>
      </c>
      <c r="V14" s="24">
        <v>26.76</v>
      </c>
      <c r="W14" s="35"/>
    </row>
    <row r="15" spans="1:23" ht="12.75">
      <c r="A15" s="22" t="s">
        <v>19</v>
      </c>
      <c r="B15" s="23">
        <v>265.8999350974548</v>
      </c>
      <c r="C15" s="33"/>
      <c r="D15" s="24">
        <v>103.44</v>
      </c>
      <c r="E15" s="24">
        <v>186.64</v>
      </c>
      <c r="F15" s="24">
        <v>253.2</v>
      </c>
      <c r="G15" s="24">
        <v>344.72</v>
      </c>
      <c r="H15" s="33"/>
      <c r="I15" s="24">
        <v>103.44</v>
      </c>
      <c r="J15" s="24">
        <v>186.64</v>
      </c>
      <c r="K15" s="24">
        <v>253.2</v>
      </c>
      <c r="L15" s="24">
        <v>344.72</v>
      </c>
      <c r="M15" s="33"/>
      <c r="N15" s="24">
        <v>103.44</v>
      </c>
      <c r="O15" s="24">
        <v>186.64</v>
      </c>
      <c r="P15" s="24">
        <v>253.2</v>
      </c>
      <c r="Q15" s="24">
        <v>344.72</v>
      </c>
      <c r="R15" s="33"/>
      <c r="S15" s="24">
        <v>103.44</v>
      </c>
      <c r="T15" s="24">
        <v>186.64</v>
      </c>
      <c r="U15" s="24">
        <v>253.2</v>
      </c>
      <c r="V15" s="24">
        <v>344.72</v>
      </c>
      <c r="W15" s="35"/>
    </row>
    <row r="16" spans="1:23" ht="12.75">
      <c r="A16" s="22" t="s">
        <v>20</v>
      </c>
      <c r="B16" s="23">
        <v>265.8999350974548</v>
      </c>
      <c r="C16" s="33"/>
      <c r="D16" s="24">
        <v>26.76</v>
      </c>
      <c r="E16" s="24">
        <v>26.76</v>
      </c>
      <c r="F16" s="24">
        <v>26.76</v>
      </c>
      <c r="G16" s="24">
        <v>26.76</v>
      </c>
      <c r="H16" s="33"/>
      <c r="I16" s="24">
        <v>26.76</v>
      </c>
      <c r="J16" s="24">
        <v>26.76</v>
      </c>
      <c r="K16" s="24">
        <v>26.76</v>
      </c>
      <c r="L16" s="24">
        <v>26.76</v>
      </c>
      <c r="M16" s="33"/>
      <c r="N16" s="24">
        <v>26.76</v>
      </c>
      <c r="O16" s="24">
        <v>26.76</v>
      </c>
      <c r="P16" s="24">
        <v>26.76</v>
      </c>
      <c r="Q16" s="24">
        <v>26.76</v>
      </c>
      <c r="R16" s="33"/>
      <c r="S16" s="24">
        <v>26.76</v>
      </c>
      <c r="T16" s="24">
        <v>26.76</v>
      </c>
      <c r="U16" s="24">
        <v>26.76</v>
      </c>
      <c r="V16" s="24">
        <v>26.76</v>
      </c>
      <c r="W16" s="35"/>
    </row>
    <row r="17" spans="1:23" ht="12.75">
      <c r="A17" s="22" t="s">
        <v>21</v>
      </c>
      <c r="B17" s="23">
        <v>265.8999350974548</v>
      </c>
      <c r="C17" s="33"/>
      <c r="D17" s="24">
        <v>128.4</v>
      </c>
      <c r="E17" s="24">
        <v>253.2</v>
      </c>
      <c r="F17" s="24">
        <v>353.04</v>
      </c>
      <c r="G17" s="24">
        <v>490.32</v>
      </c>
      <c r="H17" s="33"/>
      <c r="I17" s="24">
        <v>128.4</v>
      </c>
      <c r="J17" s="24">
        <v>253.2</v>
      </c>
      <c r="K17" s="24">
        <v>353.04</v>
      </c>
      <c r="L17" s="24">
        <v>490.32</v>
      </c>
      <c r="M17" s="33"/>
      <c r="N17" s="24">
        <v>128.4</v>
      </c>
      <c r="O17" s="24">
        <v>253.2</v>
      </c>
      <c r="P17" s="24">
        <v>353.04</v>
      </c>
      <c r="Q17" s="24">
        <v>490.32</v>
      </c>
      <c r="R17" s="33"/>
      <c r="S17" s="24">
        <v>128.4</v>
      </c>
      <c r="T17" s="24">
        <v>253.2</v>
      </c>
      <c r="U17" s="24">
        <v>353.04</v>
      </c>
      <c r="V17" s="24">
        <v>490.32</v>
      </c>
      <c r="W17" s="35"/>
    </row>
    <row r="18" spans="1:23" ht="12.75">
      <c r="A18" s="22" t="s">
        <v>22</v>
      </c>
      <c r="B18" s="23">
        <v>265.8999350974548</v>
      </c>
      <c r="C18" s="33"/>
      <c r="D18" s="24">
        <v>26.76</v>
      </c>
      <c r="E18" s="24">
        <v>26.76</v>
      </c>
      <c r="F18" s="24">
        <v>26.76</v>
      </c>
      <c r="G18" s="24">
        <v>26.76</v>
      </c>
      <c r="H18" s="33"/>
      <c r="I18" s="24">
        <v>26.76</v>
      </c>
      <c r="J18" s="24">
        <v>26.76</v>
      </c>
      <c r="K18" s="24">
        <v>26.76</v>
      </c>
      <c r="L18" s="24">
        <v>26.76</v>
      </c>
      <c r="M18" s="33"/>
      <c r="N18" s="24">
        <v>26.76</v>
      </c>
      <c r="O18" s="24">
        <v>26.76</v>
      </c>
      <c r="P18" s="24">
        <v>26.76</v>
      </c>
      <c r="Q18" s="24">
        <v>26.76</v>
      </c>
      <c r="R18" s="33"/>
      <c r="S18" s="24">
        <v>26.76</v>
      </c>
      <c r="T18" s="24">
        <v>26.76</v>
      </c>
      <c r="U18" s="24">
        <v>26.76</v>
      </c>
      <c r="V18" s="24">
        <v>26.76</v>
      </c>
      <c r="W18" s="35"/>
    </row>
    <row r="19" spans="1:23" ht="12.75">
      <c r="A19" s="22" t="s">
        <v>23</v>
      </c>
      <c r="B19" s="23">
        <v>265.8999350974548</v>
      </c>
      <c r="C19" s="33"/>
      <c r="D19" s="24">
        <v>153.36</v>
      </c>
      <c r="E19" s="24">
        <v>319.76</v>
      </c>
      <c r="F19" s="24">
        <v>452.88</v>
      </c>
      <c r="G19" s="24">
        <v>635.92</v>
      </c>
      <c r="H19" s="33"/>
      <c r="I19" s="24">
        <v>153.36</v>
      </c>
      <c r="J19" s="24">
        <v>319.76</v>
      </c>
      <c r="K19" s="24">
        <v>452.88</v>
      </c>
      <c r="L19" s="24">
        <v>635.92</v>
      </c>
      <c r="M19" s="33"/>
      <c r="N19" s="24">
        <v>153.36</v>
      </c>
      <c r="O19" s="24">
        <v>319.76</v>
      </c>
      <c r="P19" s="24">
        <v>452.88</v>
      </c>
      <c r="Q19" s="24">
        <v>635.92</v>
      </c>
      <c r="R19" s="33"/>
      <c r="S19" s="24">
        <v>153.36</v>
      </c>
      <c r="T19" s="24">
        <v>319.76</v>
      </c>
      <c r="U19" s="24">
        <v>452.88</v>
      </c>
      <c r="V19" s="24">
        <v>635.92</v>
      </c>
      <c r="W19" s="35"/>
    </row>
    <row r="20" spans="1:23" ht="27" customHeight="1">
      <c r="A20" s="18" t="s">
        <v>24</v>
      </c>
      <c r="B20" s="13" t="s">
        <v>8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ht="12.75">
      <c r="A21" s="22" t="s">
        <v>10</v>
      </c>
      <c r="B21" s="23">
        <v>73.89554166666649</v>
      </c>
      <c r="C21" s="33"/>
      <c r="D21" s="24">
        <v>26.76</v>
      </c>
      <c r="E21" s="24">
        <v>26.76</v>
      </c>
      <c r="F21" s="24">
        <v>26.76</v>
      </c>
      <c r="G21" s="24">
        <v>26.76</v>
      </c>
      <c r="H21" s="33"/>
      <c r="I21" s="24">
        <v>26.76</v>
      </c>
      <c r="J21" s="24">
        <v>26.76</v>
      </c>
      <c r="K21" s="24">
        <v>26.76</v>
      </c>
      <c r="L21" s="24">
        <v>26.76</v>
      </c>
      <c r="M21" s="33"/>
      <c r="N21" s="24">
        <v>26.76</v>
      </c>
      <c r="O21" s="24">
        <v>26.76</v>
      </c>
      <c r="P21" s="24">
        <v>26.76</v>
      </c>
      <c r="Q21" s="24">
        <v>26.76</v>
      </c>
      <c r="R21" s="33"/>
      <c r="S21" s="24">
        <v>26.76</v>
      </c>
      <c r="T21" s="24">
        <v>26.76</v>
      </c>
      <c r="U21" s="24">
        <v>26.76</v>
      </c>
      <c r="V21" s="26">
        <v>26.76</v>
      </c>
      <c r="W21" s="35"/>
    </row>
    <row r="22" spans="1:23" ht="12.75">
      <c r="A22" s="22" t="s">
        <v>11</v>
      </c>
      <c r="B22" s="23">
        <v>84.69874493410276</v>
      </c>
      <c r="C22" s="33"/>
      <c r="D22" s="24">
        <v>76.68</v>
      </c>
      <c r="E22" s="24">
        <v>159.88</v>
      </c>
      <c r="F22" s="24">
        <v>226.44</v>
      </c>
      <c r="G22" s="24">
        <v>317.96</v>
      </c>
      <c r="H22" s="33"/>
      <c r="I22" s="24">
        <v>76.68</v>
      </c>
      <c r="J22" s="24">
        <v>159.88</v>
      </c>
      <c r="K22" s="24">
        <v>226.44</v>
      </c>
      <c r="L22" s="24">
        <v>317.96</v>
      </c>
      <c r="M22" s="33"/>
      <c r="N22" s="24">
        <v>76.68</v>
      </c>
      <c r="O22" s="24">
        <v>159.88</v>
      </c>
      <c r="P22" s="24">
        <v>226.44</v>
      </c>
      <c r="Q22" s="24">
        <v>317.96</v>
      </c>
      <c r="R22" s="33"/>
      <c r="S22" s="24">
        <v>76.68</v>
      </c>
      <c r="T22" s="24">
        <v>159.88</v>
      </c>
      <c r="U22" s="24">
        <v>226.44</v>
      </c>
      <c r="V22" s="24">
        <v>317.96</v>
      </c>
      <c r="W22" s="35"/>
    </row>
    <row r="23" spans="1:23" ht="12.75">
      <c r="A23" s="22" t="s">
        <v>12</v>
      </c>
      <c r="B23" s="23">
        <v>73.89554166666649</v>
      </c>
      <c r="C23" s="33"/>
      <c r="D23" s="24">
        <v>0</v>
      </c>
      <c r="E23" s="24">
        <v>0</v>
      </c>
      <c r="F23" s="24">
        <v>0</v>
      </c>
      <c r="G23" s="24">
        <v>0</v>
      </c>
      <c r="H23" s="33"/>
      <c r="I23" s="24">
        <v>0</v>
      </c>
      <c r="J23" s="24">
        <v>0</v>
      </c>
      <c r="K23" s="24">
        <v>0</v>
      </c>
      <c r="L23" s="24">
        <v>0</v>
      </c>
      <c r="M23" s="33"/>
      <c r="N23" s="24">
        <v>0</v>
      </c>
      <c r="O23" s="24">
        <v>0</v>
      </c>
      <c r="P23" s="24">
        <v>0</v>
      </c>
      <c r="Q23" s="24">
        <v>0</v>
      </c>
      <c r="R23" s="33"/>
      <c r="S23" s="24">
        <v>0</v>
      </c>
      <c r="T23" s="24">
        <v>0</v>
      </c>
      <c r="U23" s="24">
        <v>0</v>
      </c>
      <c r="V23" s="24">
        <v>0</v>
      </c>
      <c r="W23" s="35"/>
    </row>
    <row r="24" spans="1:23" ht="12.75">
      <c r="A24" s="22" t="s">
        <v>13</v>
      </c>
      <c r="B24" s="23">
        <v>84.69874493410276</v>
      </c>
      <c r="C24" s="33"/>
      <c r="D24" s="24">
        <v>0</v>
      </c>
      <c r="E24" s="24">
        <v>0</v>
      </c>
      <c r="F24" s="24">
        <v>0</v>
      </c>
      <c r="G24" s="24">
        <v>0</v>
      </c>
      <c r="H24" s="33"/>
      <c r="I24" s="24">
        <v>0</v>
      </c>
      <c r="J24" s="24">
        <v>0</v>
      </c>
      <c r="K24" s="24">
        <v>0</v>
      </c>
      <c r="L24" s="24">
        <v>0</v>
      </c>
      <c r="M24" s="33"/>
      <c r="N24" s="24">
        <v>0</v>
      </c>
      <c r="O24" s="24">
        <v>0</v>
      </c>
      <c r="P24" s="24">
        <v>0</v>
      </c>
      <c r="Q24" s="24">
        <v>0</v>
      </c>
      <c r="R24" s="33"/>
      <c r="S24" s="24">
        <v>0</v>
      </c>
      <c r="T24" s="24">
        <v>0</v>
      </c>
      <c r="U24" s="24">
        <v>0</v>
      </c>
      <c r="V24" s="24">
        <v>0</v>
      </c>
      <c r="W24" s="35"/>
    </row>
    <row r="25" spans="1:23" ht="12.75">
      <c r="A25" s="22" t="s">
        <v>14</v>
      </c>
      <c r="B25" s="23">
        <v>73.89554166666649</v>
      </c>
      <c r="C25" s="33"/>
      <c r="D25" s="24">
        <v>26.76</v>
      </c>
      <c r="E25" s="24">
        <v>26.76</v>
      </c>
      <c r="F25" s="24">
        <v>26.76</v>
      </c>
      <c r="G25" s="24">
        <v>26.76</v>
      </c>
      <c r="H25" s="33"/>
      <c r="I25" s="24">
        <v>26.76</v>
      </c>
      <c r="J25" s="24">
        <v>26.76</v>
      </c>
      <c r="K25" s="24">
        <v>26.76</v>
      </c>
      <c r="L25" s="24">
        <v>26.76</v>
      </c>
      <c r="M25" s="33"/>
      <c r="N25" s="24">
        <v>26.76</v>
      </c>
      <c r="O25" s="24">
        <v>26.76</v>
      </c>
      <c r="P25" s="24">
        <v>26.76</v>
      </c>
      <c r="Q25" s="24">
        <v>26.76</v>
      </c>
      <c r="R25" s="33"/>
      <c r="S25" s="24">
        <v>26.76</v>
      </c>
      <c r="T25" s="24">
        <v>26.76</v>
      </c>
      <c r="U25" s="24">
        <v>26.76</v>
      </c>
      <c r="V25" s="24">
        <v>26.76</v>
      </c>
      <c r="W25" s="35"/>
    </row>
    <row r="26" spans="1:23" ht="12.75">
      <c r="A26" s="22" t="s">
        <v>15</v>
      </c>
      <c r="B26" s="23">
        <v>73.89554166666649</v>
      </c>
      <c r="C26" s="33"/>
      <c r="D26" s="24">
        <v>53.52</v>
      </c>
      <c r="E26" s="24">
        <v>53.52</v>
      </c>
      <c r="F26" s="24">
        <v>53.52</v>
      </c>
      <c r="G26" s="24">
        <v>53.52</v>
      </c>
      <c r="H26" s="33"/>
      <c r="I26" s="24">
        <v>53.52</v>
      </c>
      <c r="J26" s="24">
        <v>53.52</v>
      </c>
      <c r="K26" s="24">
        <v>53.52</v>
      </c>
      <c r="L26" s="24">
        <v>53.52</v>
      </c>
      <c r="M26" s="33"/>
      <c r="N26" s="24">
        <v>53.52</v>
      </c>
      <c r="O26" s="24">
        <v>53.52</v>
      </c>
      <c r="P26" s="24">
        <v>53.52</v>
      </c>
      <c r="Q26" s="24">
        <v>53.52</v>
      </c>
      <c r="R26" s="33"/>
      <c r="S26" s="24">
        <v>53.52</v>
      </c>
      <c r="T26" s="24">
        <v>53.52</v>
      </c>
      <c r="U26" s="24">
        <v>53.52</v>
      </c>
      <c r="V26" s="24">
        <v>53.52</v>
      </c>
      <c r="W26" s="35"/>
    </row>
    <row r="27" spans="1:23" ht="12.75">
      <c r="A27" s="22" t="s">
        <v>16</v>
      </c>
      <c r="B27" s="23">
        <v>84.69874493410276</v>
      </c>
      <c r="C27" s="33"/>
      <c r="D27" s="24">
        <v>26.76</v>
      </c>
      <c r="E27" s="24">
        <v>26.76</v>
      </c>
      <c r="F27" s="24">
        <v>26.76</v>
      </c>
      <c r="G27" s="24">
        <v>26.76</v>
      </c>
      <c r="H27" s="33"/>
      <c r="I27" s="24">
        <v>26.76</v>
      </c>
      <c r="J27" s="24">
        <v>26.76</v>
      </c>
      <c r="K27" s="24">
        <v>26.76</v>
      </c>
      <c r="L27" s="24">
        <v>26.76</v>
      </c>
      <c r="M27" s="33"/>
      <c r="N27" s="24">
        <v>26.76</v>
      </c>
      <c r="O27" s="24">
        <v>26.76</v>
      </c>
      <c r="P27" s="24">
        <v>26.76</v>
      </c>
      <c r="Q27" s="24">
        <v>26.76</v>
      </c>
      <c r="R27" s="33"/>
      <c r="S27" s="24">
        <v>26.76</v>
      </c>
      <c r="T27" s="24">
        <v>26.76</v>
      </c>
      <c r="U27" s="24">
        <v>26.76</v>
      </c>
      <c r="V27" s="24">
        <v>26.76</v>
      </c>
      <c r="W27" s="35"/>
    </row>
    <row r="28" spans="1:23" ht="12.75">
      <c r="A28" s="22" t="s">
        <v>17</v>
      </c>
      <c r="B28" s="23">
        <v>84.69874493410276</v>
      </c>
      <c r="C28" s="33"/>
      <c r="D28" s="24">
        <v>103.44</v>
      </c>
      <c r="E28" s="24">
        <v>186.64</v>
      </c>
      <c r="F28" s="24">
        <v>253.2</v>
      </c>
      <c r="G28" s="24">
        <v>344.72</v>
      </c>
      <c r="H28" s="33"/>
      <c r="I28" s="24">
        <v>103.44</v>
      </c>
      <c r="J28" s="24">
        <v>186.64</v>
      </c>
      <c r="K28" s="24">
        <v>253.2</v>
      </c>
      <c r="L28" s="24">
        <v>344.72</v>
      </c>
      <c r="M28" s="33"/>
      <c r="N28" s="24">
        <v>103.44</v>
      </c>
      <c r="O28" s="24">
        <v>186.64</v>
      </c>
      <c r="P28" s="24">
        <v>253.2</v>
      </c>
      <c r="Q28" s="24">
        <v>344.72</v>
      </c>
      <c r="R28" s="33"/>
      <c r="S28" s="24">
        <v>103.44</v>
      </c>
      <c r="T28" s="24">
        <v>186.64</v>
      </c>
      <c r="U28" s="24">
        <v>253.2</v>
      </c>
      <c r="V28" s="24">
        <v>344.72</v>
      </c>
      <c r="W28" s="35"/>
    </row>
    <row r="29" spans="1:23" ht="12.75">
      <c r="A29" s="22" t="s">
        <v>18</v>
      </c>
      <c r="B29" s="23">
        <v>98.21647328478267</v>
      </c>
      <c r="C29" s="33"/>
      <c r="D29" s="24">
        <v>26.76</v>
      </c>
      <c r="E29" s="24">
        <v>26.76</v>
      </c>
      <c r="F29" s="24">
        <v>26.76</v>
      </c>
      <c r="G29" s="24">
        <v>26.76</v>
      </c>
      <c r="H29" s="33"/>
      <c r="I29" s="24">
        <v>26.76</v>
      </c>
      <c r="J29" s="24">
        <v>26.76</v>
      </c>
      <c r="K29" s="24">
        <v>26.76</v>
      </c>
      <c r="L29" s="24">
        <v>26.76</v>
      </c>
      <c r="M29" s="33"/>
      <c r="N29" s="24">
        <v>26.76</v>
      </c>
      <c r="O29" s="24">
        <v>26.76</v>
      </c>
      <c r="P29" s="24">
        <v>26.76</v>
      </c>
      <c r="Q29" s="24">
        <v>26.76</v>
      </c>
      <c r="R29" s="33"/>
      <c r="S29" s="24">
        <v>26.76</v>
      </c>
      <c r="T29" s="24">
        <v>26.76</v>
      </c>
      <c r="U29" s="24">
        <v>26.76</v>
      </c>
      <c r="V29" s="24">
        <v>26.76</v>
      </c>
      <c r="W29" s="35"/>
    </row>
    <row r="30" spans="1:23" ht="12.75">
      <c r="A30" s="22" t="s">
        <v>19</v>
      </c>
      <c r="B30" s="23">
        <v>98.21647328478267</v>
      </c>
      <c r="C30" s="33"/>
      <c r="D30" s="24">
        <v>103.44</v>
      </c>
      <c r="E30" s="24">
        <v>186.64</v>
      </c>
      <c r="F30" s="24">
        <v>253.2</v>
      </c>
      <c r="G30" s="24">
        <v>344.72</v>
      </c>
      <c r="H30" s="33"/>
      <c r="I30" s="24">
        <v>103.44</v>
      </c>
      <c r="J30" s="24">
        <v>186.64</v>
      </c>
      <c r="K30" s="24">
        <v>253.2</v>
      </c>
      <c r="L30" s="24">
        <v>344.72</v>
      </c>
      <c r="M30" s="33"/>
      <c r="N30" s="24">
        <v>103.44</v>
      </c>
      <c r="O30" s="24">
        <v>186.64</v>
      </c>
      <c r="P30" s="24">
        <v>253.2</v>
      </c>
      <c r="Q30" s="24">
        <v>344.72</v>
      </c>
      <c r="R30" s="33"/>
      <c r="S30" s="24">
        <v>103.44</v>
      </c>
      <c r="T30" s="24">
        <v>186.64</v>
      </c>
      <c r="U30" s="24">
        <v>253.2</v>
      </c>
      <c r="V30" s="24">
        <v>344.72</v>
      </c>
      <c r="W30" s="35"/>
    </row>
    <row r="31" spans="1:23" ht="12.75">
      <c r="A31" s="22" t="s">
        <v>20</v>
      </c>
      <c r="B31" s="23">
        <v>98.21647328478267</v>
      </c>
      <c r="C31" s="33"/>
      <c r="D31" s="24">
        <v>26.76</v>
      </c>
      <c r="E31" s="24">
        <v>26.76</v>
      </c>
      <c r="F31" s="24">
        <v>26.76</v>
      </c>
      <c r="G31" s="24">
        <v>26.76</v>
      </c>
      <c r="H31" s="33"/>
      <c r="I31" s="24">
        <v>26.76</v>
      </c>
      <c r="J31" s="24">
        <v>26.76</v>
      </c>
      <c r="K31" s="24">
        <v>26.76</v>
      </c>
      <c r="L31" s="24">
        <v>26.76</v>
      </c>
      <c r="M31" s="33"/>
      <c r="N31" s="24">
        <v>26.76</v>
      </c>
      <c r="O31" s="24">
        <v>26.76</v>
      </c>
      <c r="P31" s="24">
        <v>26.76</v>
      </c>
      <c r="Q31" s="24">
        <v>26.76</v>
      </c>
      <c r="R31" s="33"/>
      <c r="S31" s="24">
        <v>26.76</v>
      </c>
      <c r="T31" s="24">
        <v>26.76</v>
      </c>
      <c r="U31" s="24">
        <v>26.76</v>
      </c>
      <c r="V31" s="24">
        <v>26.76</v>
      </c>
      <c r="W31" s="35"/>
    </row>
    <row r="32" spans="1:23" ht="12.75">
      <c r="A32" s="22" t="s">
        <v>21</v>
      </c>
      <c r="B32" s="23">
        <v>98.21647328478267</v>
      </c>
      <c r="C32" s="33"/>
      <c r="D32" s="24">
        <v>128.4</v>
      </c>
      <c r="E32" s="24">
        <v>253.2</v>
      </c>
      <c r="F32" s="24">
        <v>353.04</v>
      </c>
      <c r="G32" s="24">
        <v>490.32</v>
      </c>
      <c r="H32" s="33"/>
      <c r="I32" s="24">
        <v>128.4</v>
      </c>
      <c r="J32" s="24">
        <v>253.2</v>
      </c>
      <c r="K32" s="24">
        <v>353.04</v>
      </c>
      <c r="L32" s="24">
        <v>490.32</v>
      </c>
      <c r="M32" s="33"/>
      <c r="N32" s="24">
        <v>128.4</v>
      </c>
      <c r="O32" s="24">
        <v>253.2</v>
      </c>
      <c r="P32" s="24">
        <v>353.04</v>
      </c>
      <c r="Q32" s="24">
        <v>490.32</v>
      </c>
      <c r="R32" s="33"/>
      <c r="S32" s="24">
        <v>128.4</v>
      </c>
      <c r="T32" s="24">
        <v>253.2</v>
      </c>
      <c r="U32" s="24">
        <v>353.04</v>
      </c>
      <c r="V32" s="24">
        <v>490.32</v>
      </c>
      <c r="W32" s="35"/>
    </row>
    <row r="33" spans="1:23" ht="12.75">
      <c r="A33" s="22" t="s">
        <v>22</v>
      </c>
      <c r="B33" s="23">
        <v>98.21647328478267</v>
      </c>
      <c r="C33" s="33"/>
      <c r="D33" s="24">
        <v>26.76</v>
      </c>
      <c r="E33" s="24">
        <v>26.76</v>
      </c>
      <c r="F33" s="24">
        <v>26.76</v>
      </c>
      <c r="G33" s="24">
        <v>26.76</v>
      </c>
      <c r="H33" s="33"/>
      <c r="I33" s="24">
        <v>26.76</v>
      </c>
      <c r="J33" s="24">
        <v>26.76</v>
      </c>
      <c r="K33" s="24">
        <v>26.76</v>
      </c>
      <c r="L33" s="24">
        <v>26.76</v>
      </c>
      <c r="M33" s="33"/>
      <c r="N33" s="24">
        <v>26.76</v>
      </c>
      <c r="O33" s="24">
        <v>26.76</v>
      </c>
      <c r="P33" s="24">
        <v>26.76</v>
      </c>
      <c r="Q33" s="24">
        <v>26.76</v>
      </c>
      <c r="R33" s="33"/>
      <c r="S33" s="24">
        <v>26.76</v>
      </c>
      <c r="T33" s="24">
        <v>26.76</v>
      </c>
      <c r="U33" s="24">
        <v>26.76</v>
      </c>
      <c r="V33" s="24">
        <v>26.76</v>
      </c>
      <c r="W33" s="35"/>
    </row>
    <row r="34" spans="1:23" ht="12.75">
      <c r="A34" s="22" t="s">
        <v>23</v>
      </c>
      <c r="B34" s="23">
        <v>98.21647328478267</v>
      </c>
      <c r="C34" s="33"/>
      <c r="D34" s="24">
        <v>153.36</v>
      </c>
      <c r="E34" s="24">
        <v>319.76</v>
      </c>
      <c r="F34" s="24">
        <v>452.88</v>
      </c>
      <c r="G34" s="24">
        <v>635.92</v>
      </c>
      <c r="H34" s="33"/>
      <c r="I34" s="24">
        <v>153.36</v>
      </c>
      <c r="J34" s="24">
        <v>319.76</v>
      </c>
      <c r="K34" s="24">
        <v>452.88</v>
      </c>
      <c r="L34" s="24">
        <v>635.92</v>
      </c>
      <c r="M34" s="33"/>
      <c r="N34" s="24">
        <v>153.36</v>
      </c>
      <c r="O34" s="24">
        <v>319.76</v>
      </c>
      <c r="P34" s="24">
        <v>452.88</v>
      </c>
      <c r="Q34" s="24">
        <v>635.92</v>
      </c>
      <c r="R34" s="33"/>
      <c r="S34" s="24">
        <v>153.36</v>
      </c>
      <c r="T34" s="24">
        <v>319.76</v>
      </c>
      <c r="U34" s="24">
        <v>452.88</v>
      </c>
      <c r="V34" s="24">
        <v>635.92</v>
      </c>
      <c r="W34" s="35"/>
    </row>
    <row r="35" spans="1:23" ht="24">
      <c r="A35" s="18" t="s">
        <v>25</v>
      </c>
      <c r="B35" s="13" t="s">
        <v>8</v>
      </c>
      <c r="C35" s="32"/>
      <c r="D35" s="14" t="s">
        <v>4</v>
      </c>
      <c r="E35" s="14" t="s">
        <v>5</v>
      </c>
      <c r="F35" s="14" t="s">
        <v>6</v>
      </c>
      <c r="G35" s="15" t="s">
        <v>7</v>
      </c>
      <c r="H35" s="32"/>
      <c r="I35" s="28" t="s">
        <v>4</v>
      </c>
      <c r="J35" s="14" t="s">
        <v>5</v>
      </c>
      <c r="K35" s="14" t="s">
        <v>6</v>
      </c>
      <c r="L35" s="15" t="s">
        <v>7</v>
      </c>
      <c r="M35" s="32"/>
      <c r="N35" s="28" t="s">
        <v>4</v>
      </c>
      <c r="O35" s="14" t="s">
        <v>5</v>
      </c>
      <c r="P35" s="14" t="s">
        <v>6</v>
      </c>
      <c r="Q35" s="15" t="s">
        <v>7</v>
      </c>
      <c r="R35" s="32"/>
      <c r="S35" s="28" t="s">
        <v>4</v>
      </c>
      <c r="T35" s="14" t="s">
        <v>5</v>
      </c>
      <c r="U35" s="14" t="s">
        <v>6</v>
      </c>
      <c r="V35" s="15" t="s">
        <v>7</v>
      </c>
      <c r="W35" s="34"/>
    </row>
    <row r="36" spans="1:23" ht="12.75">
      <c r="A36" s="27" t="s">
        <v>10</v>
      </c>
      <c r="B36" s="23">
        <v>127.2225586275902</v>
      </c>
      <c r="C36" s="33"/>
      <c r="D36" s="24">
        <v>16.76</v>
      </c>
      <c r="E36" s="24">
        <v>16.76</v>
      </c>
      <c r="F36" s="24">
        <v>16.76</v>
      </c>
      <c r="G36" s="24">
        <v>16.76</v>
      </c>
      <c r="H36" s="33"/>
      <c r="I36" s="24">
        <v>16.76</v>
      </c>
      <c r="J36" s="24">
        <v>16.76</v>
      </c>
      <c r="K36" s="24">
        <v>16.76</v>
      </c>
      <c r="L36" s="24">
        <v>16.76</v>
      </c>
      <c r="M36" s="33"/>
      <c r="N36" s="24">
        <v>16.76</v>
      </c>
      <c r="O36" s="24">
        <v>16.76</v>
      </c>
      <c r="P36" s="24">
        <v>16.76</v>
      </c>
      <c r="Q36" s="24">
        <v>16.76</v>
      </c>
      <c r="R36" s="33"/>
      <c r="S36" s="24">
        <v>16.76</v>
      </c>
      <c r="T36" s="24">
        <v>16.76</v>
      </c>
      <c r="U36" s="24">
        <v>16.76</v>
      </c>
      <c r="V36" s="24">
        <v>16.76</v>
      </c>
      <c r="W36" s="35"/>
    </row>
    <row r="37" spans="1:23" ht="12.75">
      <c r="A37" s="27" t="s">
        <v>11</v>
      </c>
      <c r="B37" s="23">
        <v>146.7261021760684</v>
      </c>
      <c r="C37" s="33"/>
      <c r="D37" s="24">
        <v>56.6</v>
      </c>
      <c r="E37" s="24">
        <v>123</v>
      </c>
      <c r="F37" s="24">
        <v>176.12</v>
      </c>
      <c r="G37" s="24">
        <v>249.16</v>
      </c>
      <c r="H37" s="33"/>
      <c r="I37" s="24">
        <v>56.6</v>
      </c>
      <c r="J37" s="24">
        <v>123</v>
      </c>
      <c r="K37" s="24">
        <v>176.12</v>
      </c>
      <c r="L37" s="24">
        <v>249.16</v>
      </c>
      <c r="M37" s="33"/>
      <c r="N37" s="24">
        <v>56.6</v>
      </c>
      <c r="O37" s="24">
        <v>123</v>
      </c>
      <c r="P37" s="24">
        <v>176.12</v>
      </c>
      <c r="Q37" s="24">
        <v>249.16</v>
      </c>
      <c r="R37" s="33"/>
      <c r="S37" s="24">
        <v>56.6</v>
      </c>
      <c r="T37" s="24">
        <v>123</v>
      </c>
      <c r="U37" s="24">
        <v>176.12</v>
      </c>
      <c r="V37" s="24">
        <v>249.16</v>
      </c>
      <c r="W37" s="35"/>
    </row>
    <row r="38" spans="1:23" ht="12.75">
      <c r="A38" s="27" t="s">
        <v>12</v>
      </c>
      <c r="B38" s="23">
        <v>127.2225586275902</v>
      </c>
      <c r="C38" s="33"/>
      <c r="D38" s="24">
        <v>0</v>
      </c>
      <c r="E38" s="24">
        <v>0</v>
      </c>
      <c r="F38" s="24">
        <v>0</v>
      </c>
      <c r="G38" s="24">
        <v>0</v>
      </c>
      <c r="H38" s="33"/>
      <c r="I38" s="24">
        <v>0</v>
      </c>
      <c r="J38" s="24">
        <v>0</v>
      </c>
      <c r="K38" s="24">
        <v>0</v>
      </c>
      <c r="L38" s="24">
        <v>0</v>
      </c>
      <c r="M38" s="33"/>
      <c r="N38" s="24">
        <v>0</v>
      </c>
      <c r="O38" s="24">
        <v>0</v>
      </c>
      <c r="P38" s="24">
        <v>0</v>
      </c>
      <c r="Q38" s="24">
        <v>0</v>
      </c>
      <c r="R38" s="33"/>
      <c r="S38" s="24">
        <v>0</v>
      </c>
      <c r="T38" s="24">
        <v>0</v>
      </c>
      <c r="U38" s="24">
        <v>0</v>
      </c>
      <c r="V38" s="24">
        <v>0</v>
      </c>
      <c r="W38" s="35"/>
    </row>
    <row r="39" spans="1:23" ht="12.75">
      <c r="A39" s="27" t="s">
        <v>13</v>
      </c>
      <c r="B39" s="23">
        <v>146.7261021760684</v>
      </c>
      <c r="C39" s="33"/>
      <c r="D39" s="24">
        <v>0</v>
      </c>
      <c r="E39" s="24">
        <v>0</v>
      </c>
      <c r="F39" s="24">
        <v>0</v>
      </c>
      <c r="G39" s="24">
        <v>0</v>
      </c>
      <c r="H39" s="33"/>
      <c r="I39" s="24">
        <v>0</v>
      </c>
      <c r="J39" s="24">
        <v>0</v>
      </c>
      <c r="K39" s="24">
        <v>0</v>
      </c>
      <c r="L39" s="24">
        <v>0</v>
      </c>
      <c r="M39" s="33"/>
      <c r="N39" s="24">
        <v>0</v>
      </c>
      <c r="O39" s="24">
        <v>0</v>
      </c>
      <c r="P39" s="24">
        <v>0</v>
      </c>
      <c r="Q39" s="24">
        <v>0</v>
      </c>
      <c r="R39" s="33"/>
      <c r="S39" s="24">
        <v>0</v>
      </c>
      <c r="T39" s="24">
        <v>0</v>
      </c>
      <c r="U39" s="24">
        <v>0</v>
      </c>
      <c r="V39" s="24">
        <v>0</v>
      </c>
      <c r="W39" s="35"/>
    </row>
    <row r="40" spans="1:23" ht="12.75">
      <c r="A40" s="27" t="s">
        <v>14</v>
      </c>
      <c r="B40" s="23">
        <v>127.2225586275902</v>
      </c>
      <c r="C40" s="33"/>
      <c r="D40" s="24">
        <v>16.76</v>
      </c>
      <c r="E40" s="24">
        <v>16.76</v>
      </c>
      <c r="F40" s="24">
        <v>16.76</v>
      </c>
      <c r="G40" s="24">
        <v>16.76</v>
      </c>
      <c r="H40" s="33"/>
      <c r="I40" s="24">
        <v>16.76</v>
      </c>
      <c r="J40" s="24">
        <v>16.76</v>
      </c>
      <c r="K40" s="24">
        <v>16.76</v>
      </c>
      <c r="L40" s="24">
        <v>16.76</v>
      </c>
      <c r="M40" s="33"/>
      <c r="N40" s="24">
        <v>16.76</v>
      </c>
      <c r="O40" s="24">
        <v>16.76</v>
      </c>
      <c r="P40" s="24">
        <v>16.76</v>
      </c>
      <c r="Q40" s="24">
        <v>16.76</v>
      </c>
      <c r="R40" s="33"/>
      <c r="S40" s="24">
        <v>16.76</v>
      </c>
      <c r="T40" s="24">
        <v>16.76</v>
      </c>
      <c r="U40" s="24">
        <v>16.76</v>
      </c>
      <c r="V40" s="24">
        <v>16.76</v>
      </c>
      <c r="W40" s="35"/>
    </row>
    <row r="41" spans="1:23" ht="12.75">
      <c r="A41" s="27" t="s">
        <v>15</v>
      </c>
      <c r="B41" s="23">
        <v>127.2225586275902</v>
      </c>
      <c r="C41" s="33"/>
      <c r="D41" s="24">
        <v>33.52</v>
      </c>
      <c r="E41" s="24">
        <v>33.52</v>
      </c>
      <c r="F41" s="24">
        <v>33.52</v>
      </c>
      <c r="G41" s="24">
        <v>33.52</v>
      </c>
      <c r="H41" s="33"/>
      <c r="I41" s="24">
        <v>33.52</v>
      </c>
      <c r="J41" s="24">
        <v>33.52</v>
      </c>
      <c r="K41" s="24">
        <v>33.52</v>
      </c>
      <c r="L41" s="24">
        <v>33.52</v>
      </c>
      <c r="M41" s="33"/>
      <c r="N41" s="24">
        <v>33.52</v>
      </c>
      <c r="O41" s="24">
        <v>33.52</v>
      </c>
      <c r="P41" s="24">
        <v>33.52</v>
      </c>
      <c r="Q41" s="24">
        <v>33.52</v>
      </c>
      <c r="R41" s="33"/>
      <c r="S41" s="24">
        <v>33.52</v>
      </c>
      <c r="T41" s="24">
        <v>33.52</v>
      </c>
      <c r="U41" s="24">
        <v>33.52</v>
      </c>
      <c r="V41" s="24">
        <v>33.52</v>
      </c>
      <c r="W41" s="35"/>
    </row>
    <row r="42" spans="1:23" ht="12.75">
      <c r="A42" s="27" t="s">
        <v>16</v>
      </c>
      <c r="B42" s="23">
        <v>146.7261021760684</v>
      </c>
      <c r="C42" s="33"/>
      <c r="D42" s="24">
        <v>16.76</v>
      </c>
      <c r="E42" s="24">
        <v>16.76</v>
      </c>
      <c r="F42" s="24">
        <v>16.76</v>
      </c>
      <c r="G42" s="24">
        <v>16.76</v>
      </c>
      <c r="H42" s="33"/>
      <c r="I42" s="24">
        <v>16.76</v>
      </c>
      <c r="J42" s="24">
        <v>16.76</v>
      </c>
      <c r="K42" s="24">
        <v>16.76</v>
      </c>
      <c r="L42" s="24">
        <v>16.76</v>
      </c>
      <c r="M42" s="33"/>
      <c r="N42" s="24">
        <v>16.76</v>
      </c>
      <c r="O42" s="24">
        <v>16.76</v>
      </c>
      <c r="P42" s="24">
        <v>16.76</v>
      </c>
      <c r="Q42" s="24">
        <v>16.76</v>
      </c>
      <c r="R42" s="33"/>
      <c r="S42" s="24">
        <v>16.76</v>
      </c>
      <c r="T42" s="24">
        <v>16.76</v>
      </c>
      <c r="U42" s="24">
        <v>16.76</v>
      </c>
      <c r="V42" s="24">
        <v>16.76</v>
      </c>
      <c r="W42" s="35"/>
    </row>
    <row r="43" spans="1:23" ht="12.75">
      <c r="A43" s="27" t="s">
        <v>17</v>
      </c>
      <c r="B43" s="23">
        <v>146.7261021760684</v>
      </c>
      <c r="C43" s="33"/>
      <c r="D43" s="24">
        <v>73.36</v>
      </c>
      <c r="E43" s="24">
        <v>139.76</v>
      </c>
      <c r="F43" s="24">
        <v>192.88</v>
      </c>
      <c r="G43" s="24">
        <v>265.92</v>
      </c>
      <c r="H43" s="33"/>
      <c r="I43" s="24">
        <v>73.36</v>
      </c>
      <c r="J43" s="24">
        <v>139.76</v>
      </c>
      <c r="K43" s="24">
        <v>192.88</v>
      </c>
      <c r="L43" s="24">
        <v>265.92</v>
      </c>
      <c r="M43" s="33"/>
      <c r="N43" s="24">
        <v>73.36</v>
      </c>
      <c r="O43" s="24">
        <v>139.76</v>
      </c>
      <c r="P43" s="24">
        <v>192.88</v>
      </c>
      <c r="Q43" s="24">
        <v>265.92</v>
      </c>
      <c r="R43" s="33"/>
      <c r="S43" s="24">
        <v>73.36</v>
      </c>
      <c r="T43" s="24">
        <v>139.76</v>
      </c>
      <c r="U43" s="24">
        <v>192.88</v>
      </c>
      <c r="V43" s="24">
        <v>265.92</v>
      </c>
      <c r="W43" s="35"/>
    </row>
    <row r="44" spans="1:23" ht="12.75">
      <c r="A44" s="27" t="s">
        <v>18</v>
      </c>
      <c r="B44" s="23">
        <v>164.5548639965686</v>
      </c>
      <c r="C44" s="33"/>
      <c r="D44" s="24">
        <v>16.76</v>
      </c>
      <c r="E44" s="24">
        <v>16.76</v>
      </c>
      <c r="F44" s="24">
        <v>16.76</v>
      </c>
      <c r="G44" s="24">
        <v>16.76</v>
      </c>
      <c r="H44" s="33"/>
      <c r="I44" s="24">
        <v>16.76</v>
      </c>
      <c r="J44" s="24">
        <v>16.76</v>
      </c>
      <c r="K44" s="24">
        <v>16.76</v>
      </c>
      <c r="L44" s="24">
        <v>16.76</v>
      </c>
      <c r="M44" s="33"/>
      <c r="N44" s="24">
        <v>16.76</v>
      </c>
      <c r="O44" s="24">
        <v>16.76</v>
      </c>
      <c r="P44" s="24">
        <v>16.76</v>
      </c>
      <c r="Q44" s="24">
        <v>16.76</v>
      </c>
      <c r="R44" s="33"/>
      <c r="S44" s="24">
        <v>16.76</v>
      </c>
      <c r="T44" s="24">
        <v>16.76</v>
      </c>
      <c r="U44" s="24">
        <v>16.76</v>
      </c>
      <c r="V44" s="24">
        <v>16.76</v>
      </c>
      <c r="W44" s="35"/>
    </row>
    <row r="45" spans="1:23" ht="12.75">
      <c r="A45" s="27" t="s">
        <v>19</v>
      </c>
      <c r="B45" s="23">
        <v>164.5548639965686</v>
      </c>
      <c r="C45" s="33"/>
      <c r="D45" s="24">
        <v>73.36</v>
      </c>
      <c r="E45" s="24">
        <v>139.76</v>
      </c>
      <c r="F45" s="24">
        <v>192.88</v>
      </c>
      <c r="G45" s="24">
        <v>265.92</v>
      </c>
      <c r="H45" s="33"/>
      <c r="I45" s="24">
        <v>73.36</v>
      </c>
      <c r="J45" s="24">
        <v>139.76</v>
      </c>
      <c r="K45" s="24">
        <v>192.88</v>
      </c>
      <c r="L45" s="24">
        <v>265.92</v>
      </c>
      <c r="M45" s="33"/>
      <c r="N45" s="24">
        <v>73.36</v>
      </c>
      <c r="O45" s="24">
        <v>139.76</v>
      </c>
      <c r="P45" s="24">
        <v>192.88</v>
      </c>
      <c r="Q45" s="24">
        <v>265.92</v>
      </c>
      <c r="R45" s="33"/>
      <c r="S45" s="24">
        <v>73.36</v>
      </c>
      <c r="T45" s="24">
        <v>139.76</v>
      </c>
      <c r="U45" s="24">
        <v>192.88</v>
      </c>
      <c r="V45" s="24">
        <v>265.92</v>
      </c>
      <c r="W45" s="35"/>
    </row>
    <row r="46" spans="1:23" ht="12.75">
      <c r="A46" s="27" t="s">
        <v>20</v>
      </c>
      <c r="B46" s="23">
        <v>164.5548639965686</v>
      </c>
      <c r="C46" s="33"/>
      <c r="D46" s="24">
        <v>16.76</v>
      </c>
      <c r="E46" s="24">
        <v>16.76</v>
      </c>
      <c r="F46" s="24">
        <v>16.76</v>
      </c>
      <c r="G46" s="24">
        <v>16.76</v>
      </c>
      <c r="H46" s="33"/>
      <c r="I46" s="24">
        <v>16.76</v>
      </c>
      <c r="J46" s="24">
        <v>16.76</v>
      </c>
      <c r="K46" s="24">
        <v>16.76</v>
      </c>
      <c r="L46" s="24">
        <v>16.76</v>
      </c>
      <c r="M46" s="33"/>
      <c r="N46" s="24">
        <v>16.76</v>
      </c>
      <c r="O46" s="24">
        <v>16.76</v>
      </c>
      <c r="P46" s="24">
        <v>16.76</v>
      </c>
      <c r="Q46" s="24">
        <v>16.76</v>
      </c>
      <c r="R46" s="33"/>
      <c r="S46" s="24">
        <v>16.76</v>
      </c>
      <c r="T46" s="24">
        <v>16.76</v>
      </c>
      <c r="U46" s="24">
        <v>16.76</v>
      </c>
      <c r="V46" s="24">
        <v>16.76</v>
      </c>
      <c r="W46" s="35"/>
    </row>
    <row r="47" spans="1:23" ht="12.75">
      <c r="A47" s="27" t="s">
        <v>21</v>
      </c>
      <c r="B47" s="23">
        <v>164.5548639965686</v>
      </c>
      <c r="C47" s="33"/>
      <c r="D47" s="24">
        <v>93.28</v>
      </c>
      <c r="E47" s="24">
        <v>192.88</v>
      </c>
      <c r="F47" s="24">
        <v>272.56</v>
      </c>
      <c r="G47" s="24">
        <v>382.12</v>
      </c>
      <c r="H47" s="33"/>
      <c r="I47" s="24">
        <v>93.28</v>
      </c>
      <c r="J47" s="24">
        <v>192.88</v>
      </c>
      <c r="K47" s="24">
        <v>272.56</v>
      </c>
      <c r="L47" s="24">
        <v>382.12</v>
      </c>
      <c r="M47" s="33"/>
      <c r="N47" s="24">
        <v>93.28</v>
      </c>
      <c r="O47" s="24">
        <v>192.88</v>
      </c>
      <c r="P47" s="24">
        <v>272.56</v>
      </c>
      <c r="Q47" s="24">
        <v>382.12</v>
      </c>
      <c r="R47" s="33"/>
      <c r="S47" s="24">
        <v>93.28</v>
      </c>
      <c r="T47" s="24">
        <v>192.88</v>
      </c>
      <c r="U47" s="24">
        <v>272.56</v>
      </c>
      <c r="V47" s="24">
        <v>382.12</v>
      </c>
      <c r="W47" s="35"/>
    </row>
    <row r="48" spans="1:23" ht="12.75">
      <c r="A48" s="27" t="s">
        <v>22</v>
      </c>
      <c r="B48" s="23">
        <v>164.5548639965686</v>
      </c>
      <c r="C48" s="33"/>
      <c r="D48" s="24">
        <v>16.76</v>
      </c>
      <c r="E48" s="24">
        <v>16.76</v>
      </c>
      <c r="F48" s="24">
        <v>16.76</v>
      </c>
      <c r="G48" s="24">
        <v>16.76</v>
      </c>
      <c r="H48" s="33"/>
      <c r="I48" s="24">
        <v>16.76</v>
      </c>
      <c r="J48" s="24">
        <v>16.76</v>
      </c>
      <c r="K48" s="24">
        <v>16.76</v>
      </c>
      <c r="L48" s="24">
        <v>16.76</v>
      </c>
      <c r="M48" s="33"/>
      <c r="N48" s="24">
        <v>16.76</v>
      </c>
      <c r="O48" s="24">
        <v>16.76</v>
      </c>
      <c r="P48" s="24">
        <v>16.76</v>
      </c>
      <c r="Q48" s="24">
        <v>16.76</v>
      </c>
      <c r="R48" s="33"/>
      <c r="S48" s="24">
        <v>16.76</v>
      </c>
      <c r="T48" s="24">
        <v>16.76</v>
      </c>
      <c r="U48" s="24">
        <v>16.76</v>
      </c>
      <c r="V48" s="24">
        <v>16.76</v>
      </c>
      <c r="W48" s="35"/>
    </row>
    <row r="49" spans="1:23" ht="12.75">
      <c r="A49" s="27" t="s">
        <v>23</v>
      </c>
      <c r="B49" s="23">
        <v>164.5548639965686</v>
      </c>
      <c r="C49" s="33"/>
      <c r="D49" s="24">
        <v>113.2</v>
      </c>
      <c r="E49" s="24">
        <v>246</v>
      </c>
      <c r="F49" s="24">
        <v>352.24</v>
      </c>
      <c r="G49" s="24">
        <v>498.32</v>
      </c>
      <c r="H49" s="33"/>
      <c r="I49" s="24">
        <v>113.2</v>
      </c>
      <c r="J49" s="24">
        <v>246</v>
      </c>
      <c r="K49" s="24">
        <v>352.24</v>
      </c>
      <c r="L49" s="24">
        <v>498.32</v>
      </c>
      <c r="M49" s="33"/>
      <c r="N49" s="24">
        <v>113.2</v>
      </c>
      <c r="O49" s="24">
        <v>246</v>
      </c>
      <c r="P49" s="24">
        <v>352.24</v>
      </c>
      <c r="Q49" s="24">
        <v>498.32</v>
      </c>
      <c r="R49" s="33"/>
      <c r="S49" s="24">
        <v>113.2</v>
      </c>
      <c r="T49" s="24">
        <v>246</v>
      </c>
      <c r="U49" s="24">
        <v>352.24</v>
      </c>
      <c r="V49" s="24">
        <v>498.32</v>
      </c>
      <c r="W49" s="35"/>
    </row>
    <row r="50" spans="1:23" ht="24">
      <c r="A50" s="18" t="s">
        <v>26</v>
      </c>
      <c r="B50" s="13" t="s">
        <v>8</v>
      </c>
      <c r="C50" s="32"/>
      <c r="D50" s="14" t="s">
        <v>4</v>
      </c>
      <c r="E50" s="14" t="s">
        <v>5</v>
      </c>
      <c r="F50" s="14" t="s">
        <v>6</v>
      </c>
      <c r="G50" s="15" t="s">
        <v>7</v>
      </c>
      <c r="H50" s="32"/>
      <c r="I50" s="28" t="s">
        <v>4</v>
      </c>
      <c r="J50" s="14" t="s">
        <v>5</v>
      </c>
      <c r="K50" s="14" t="s">
        <v>6</v>
      </c>
      <c r="L50" s="15" t="s">
        <v>7</v>
      </c>
      <c r="M50" s="32"/>
      <c r="N50" s="28" t="s">
        <v>4</v>
      </c>
      <c r="O50" s="14" t="s">
        <v>5</v>
      </c>
      <c r="P50" s="14" t="s">
        <v>6</v>
      </c>
      <c r="Q50" s="15" t="s">
        <v>7</v>
      </c>
      <c r="R50" s="32"/>
      <c r="S50" s="28" t="s">
        <v>4</v>
      </c>
      <c r="T50" s="14" t="s">
        <v>5</v>
      </c>
      <c r="U50" s="14" t="s">
        <v>6</v>
      </c>
      <c r="V50" s="15" t="s">
        <v>7</v>
      </c>
      <c r="W50" s="34"/>
    </row>
    <row r="51" spans="1:23" ht="12.75">
      <c r="A51" s="22" t="s">
        <v>10</v>
      </c>
      <c r="B51" s="23">
        <v>59.1539719860898</v>
      </c>
      <c r="C51" s="33"/>
      <c r="D51" s="24">
        <v>16.76</v>
      </c>
      <c r="E51" s="24">
        <v>16.76</v>
      </c>
      <c r="F51" s="24">
        <v>16.76</v>
      </c>
      <c r="G51" s="24">
        <v>16.76</v>
      </c>
      <c r="H51" s="33"/>
      <c r="I51" s="24">
        <v>16.76</v>
      </c>
      <c r="J51" s="24">
        <v>16.76</v>
      </c>
      <c r="K51" s="24">
        <v>16.76</v>
      </c>
      <c r="L51" s="24">
        <v>16.76</v>
      </c>
      <c r="M51" s="33"/>
      <c r="N51" s="24">
        <v>16.76</v>
      </c>
      <c r="O51" s="24">
        <v>16.76</v>
      </c>
      <c r="P51" s="24">
        <v>16.76</v>
      </c>
      <c r="Q51" s="24">
        <v>16.76</v>
      </c>
      <c r="R51" s="33"/>
      <c r="S51" s="24">
        <v>16.76</v>
      </c>
      <c r="T51" s="24">
        <v>16.76</v>
      </c>
      <c r="U51" s="24">
        <v>16.76</v>
      </c>
      <c r="V51" s="24">
        <v>16.76</v>
      </c>
      <c r="W51" s="35"/>
    </row>
    <row r="52" spans="1:23" ht="12.75">
      <c r="A52" s="22" t="s">
        <v>11</v>
      </c>
      <c r="B52" s="23">
        <v>68.22242714955922</v>
      </c>
      <c r="C52" s="33"/>
      <c r="D52" s="24">
        <v>56.6</v>
      </c>
      <c r="E52" s="24">
        <v>123</v>
      </c>
      <c r="F52" s="24">
        <v>176.12</v>
      </c>
      <c r="G52" s="24">
        <v>249.16</v>
      </c>
      <c r="H52" s="33"/>
      <c r="I52" s="24">
        <v>56.6</v>
      </c>
      <c r="J52" s="24">
        <v>123</v>
      </c>
      <c r="K52" s="24">
        <v>176.12</v>
      </c>
      <c r="L52" s="24">
        <v>249.16</v>
      </c>
      <c r="M52" s="33"/>
      <c r="N52" s="24">
        <v>56.6</v>
      </c>
      <c r="O52" s="24">
        <v>123</v>
      </c>
      <c r="P52" s="24">
        <v>176.12</v>
      </c>
      <c r="Q52" s="24">
        <v>249.16</v>
      </c>
      <c r="R52" s="33"/>
      <c r="S52" s="24">
        <v>56.6</v>
      </c>
      <c r="T52" s="24">
        <v>123</v>
      </c>
      <c r="U52" s="24">
        <v>176.12</v>
      </c>
      <c r="V52" s="24">
        <v>249.16</v>
      </c>
      <c r="W52" s="35"/>
    </row>
    <row r="53" spans="1:23" ht="12.75">
      <c r="A53" s="22" t="s">
        <v>12</v>
      </c>
      <c r="B53" s="23">
        <v>59.1539719860898</v>
      </c>
      <c r="C53" s="33"/>
      <c r="D53" s="24">
        <v>0</v>
      </c>
      <c r="E53" s="24">
        <v>0</v>
      </c>
      <c r="F53" s="24">
        <v>0</v>
      </c>
      <c r="G53" s="24">
        <v>0</v>
      </c>
      <c r="H53" s="33"/>
      <c r="I53" s="24">
        <v>0</v>
      </c>
      <c r="J53" s="24">
        <v>0</v>
      </c>
      <c r="K53" s="24">
        <v>0</v>
      </c>
      <c r="L53" s="24">
        <v>0</v>
      </c>
      <c r="M53" s="33"/>
      <c r="N53" s="24">
        <v>0</v>
      </c>
      <c r="O53" s="24">
        <v>0</v>
      </c>
      <c r="P53" s="24">
        <v>0</v>
      </c>
      <c r="Q53" s="24">
        <v>0</v>
      </c>
      <c r="R53" s="33"/>
      <c r="S53" s="24">
        <v>0</v>
      </c>
      <c r="T53" s="24">
        <v>0</v>
      </c>
      <c r="U53" s="24">
        <v>0</v>
      </c>
      <c r="V53" s="24">
        <v>0</v>
      </c>
      <c r="W53" s="35"/>
    </row>
    <row r="54" spans="1:23" ht="12.75">
      <c r="A54" s="22" t="s">
        <v>13</v>
      </c>
      <c r="B54" s="23">
        <v>68.22242714955922</v>
      </c>
      <c r="C54" s="33"/>
      <c r="D54" s="24">
        <v>0</v>
      </c>
      <c r="E54" s="24">
        <v>0</v>
      </c>
      <c r="F54" s="24">
        <v>0</v>
      </c>
      <c r="G54" s="24">
        <v>0</v>
      </c>
      <c r="H54" s="33"/>
      <c r="I54" s="24">
        <v>0</v>
      </c>
      <c r="J54" s="24">
        <v>0</v>
      </c>
      <c r="K54" s="24">
        <v>0</v>
      </c>
      <c r="L54" s="24">
        <v>0</v>
      </c>
      <c r="M54" s="33"/>
      <c r="N54" s="24">
        <v>0</v>
      </c>
      <c r="O54" s="24">
        <v>0</v>
      </c>
      <c r="P54" s="24">
        <v>0</v>
      </c>
      <c r="Q54" s="24">
        <v>0</v>
      </c>
      <c r="R54" s="33"/>
      <c r="S54" s="24">
        <v>0</v>
      </c>
      <c r="T54" s="24">
        <v>0</v>
      </c>
      <c r="U54" s="24">
        <v>0</v>
      </c>
      <c r="V54" s="24">
        <v>0</v>
      </c>
      <c r="W54" s="35"/>
    </row>
    <row r="55" spans="1:23" ht="12.75">
      <c r="A55" s="22" t="s">
        <v>14</v>
      </c>
      <c r="B55" s="23">
        <v>59.1539719860898</v>
      </c>
      <c r="C55" s="33"/>
      <c r="D55" s="24">
        <v>16.76</v>
      </c>
      <c r="E55" s="24">
        <v>16.76</v>
      </c>
      <c r="F55" s="24">
        <v>16.76</v>
      </c>
      <c r="G55" s="24">
        <v>16.76</v>
      </c>
      <c r="H55" s="33"/>
      <c r="I55" s="24">
        <v>16.76</v>
      </c>
      <c r="J55" s="24">
        <v>16.76</v>
      </c>
      <c r="K55" s="24">
        <v>16.76</v>
      </c>
      <c r="L55" s="24">
        <v>16.76</v>
      </c>
      <c r="M55" s="33"/>
      <c r="N55" s="24">
        <v>16.76</v>
      </c>
      <c r="O55" s="24">
        <v>16.76</v>
      </c>
      <c r="P55" s="24">
        <v>16.76</v>
      </c>
      <c r="Q55" s="24">
        <v>16.76</v>
      </c>
      <c r="R55" s="33"/>
      <c r="S55" s="24">
        <v>16.76</v>
      </c>
      <c r="T55" s="24">
        <v>16.76</v>
      </c>
      <c r="U55" s="24">
        <v>16.76</v>
      </c>
      <c r="V55" s="24">
        <v>16.76</v>
      </c>
      <c r="W55" s="35"/>
    </row>
    <row r="56" spans="1:23" ht="12.75">
      <c r="A56" s="22" t="s">
        <v>15</v>
      </c>
      <c r="B56" s="23">
        <v>59.1539719860898</v>
      </c>
      <c r="C56" s="33"/>
      <c r="D56" s="24">
        <v>33.52</v>
      </c>
      <c r="E56" s="24">
        <v>33.52</v>
      </c>
      <c r="F56" s="24">
        <v>33.52</v>
      </c>
      <c r="G56" s="24">
        <v>33.52</v>
      </c>
      <c r="H56" s="33"/>
      <c r="I56" s="24">
        <v>33.52</v>
      </c>
      <c r="J56" s="24">
        <v>33.52</v>
      </c>
      <c r="K56" s="24">
        <v>33.52</v>
      </c>
      <c r="L56" s="24">
        <v>33.52</v>
      </c>
      <c r="M56" s="33"/>
      <c r="N56" s="24">
        <v>33.52</v>
      </c>
      <c r="O56" s="24">
        <v>33.52</v>
      </c>
      <c r="P56" s="24">
        <v>33.52</v>
      </c>
      <c r="Q56" s="24">
        <v>33.52</v>
      </c>
      <c r="R56" s="33"/>
      <c r="S56" s="24">
        <v>33.52</v>
      </c>
      <c r="T56" s="24">
        <v>33.52</v>
      </c>
      <c r="U56" s="24">
        <v>33.52</v>
      </c>
      <c r="V56" s="24">
        <v>33.52</v>
      </c>
      <c r="W56" s="35"/>
    </row>
    <row r="57" spans="1:23" ht="12.75">
      <c r="A57" s="22" t="s">
        <v>16</v>
      </c>
      <c r="B57" s="23">
        <v>68.22242714955922</v>
      </c>
      <c r="C57" s="33"/>
      <c r="D57" s="24">
        <v>16.76</v>
      </c>
      <c r="E57" s="24">
        <v>16.76</v>
      </c>
      <c r="F57" s="24">
        <v>16.76</v>
      </c>
      <c r="G57" s="24">
        <v>16.76</v>
      </c>
      <c r="H57" s="33"/>
      <c r="I57" s="24">
        <v>16.76</v>
      </c>
      <c r="J57" s="24">
        <v>16.76</v>
      </c>
      <c r="K57" s="24">
        <v>16.76</v>
      </c>
      <c r="L57" s="24">
        <v>16.76</v>
      </c>
      <c r="M57" s="33"/>
      <c r="N57" s="24">
        <v>16.76</v>
      </c>
      <c r="O57" s="24">
        <v>16.76</v>
      </c>
      <c r="P57" s="24">
        <v>16.76</v>
      </c>
      <c r="Q57" s="24">
        <v>16.76</v>
      </c>
      <c r="R57" s="33"/>
      <c r="S57" s="24">
        <v>16.76</v>
      </c>
      <c r="T57" s="24">
        <v>16.76</v>
      </c>
      <c r="U57" s="24">
        <v>16.76</v>
      </c>
      <c r="V57" s="24">
        <v>16.76</v>
      </c>
      <c r="W57" s="35"/>
    </row>
    <row r="58" spans="1:23" ht="12.75">
      <c r="A58" s="22" t="s">
        <v>17</v>
      </c>
      <c r="B58" s="23">
        <v>68.22242714955922</v>
      </c>
      <c r="C58" s="33"/>
      <c r="D58" s="24">
        <v>73.36</v>
      </c>
      <c r="E58" s="24">
        <v>139.76</v>
      </c>
      <c r="F58" s="24">
        <v>192.88</v>
      </c>
      <c r="G58" s="24">
        <v>265.92</v>
      </c>
      <c r="H58" s="33"/>
      <c r="I58" s="24">
        <v>73.36</v>
      </c>
      <c r="J58" s="24">
        <v>139.76</v>
      </c>
      <c r="K58" s="24">
        <v>192.88</v>
      </c>
      <c r="L58" s="24">
        <v>265.92</v>
      </c>
      <c r="M58" s="33"/>
      <c r="N58" s="24">
        <v>73.36</v>
      </c>
      <c r="O58" s="24">
        <v>139.76</v>
      </c>
      <c r="P58" s="24">
        <v>192.88</v>
      </c>
      <c r="Q58" s="24">
        <v>265.92</v>
      </c>
      <c r="R58" s="33"/>
      <c r="S58" s="24">
        <v>73.36</v>
      </c>
      <c r="T58" s="24">
        <v>139.76</v>
      </c>
      <c r="U58" s="24">
        <v>192.88</v>
      </c>
      <c r="V58" s="24">
        <v>265.92</v>
      </c>
      <c r="W58" s="35"/>
    </row>
    <row r="59" spans="1:23" ht="12.75">
      <c r="A59" s="22" t="s">
        <v>18</v>
      </c>
      <c r="B59" s="23">
        <v>76.51216828236977</v>
      </c>
      <c r="C59" s="33"/>
      <c r="D59" s="24">
        <v>16.76</v>
      </c>
      <c r="E59" s="24">
        <v>16.76</v>
      </c>
      <c r="F59" s="24">
        <v>16.76</v>
      </c>
      <c r="G59" s="24">
        <v>16.76</v>
      </c>
      <c r="H59" s="33"/>
      <c r="I59" s="24">
        <v>16.76</v>
      </c>
      <c r="J59" s="24">
        <v>16.76</v>
      </c>
      <c r="K59" s="24">
        <v>16.76</v>
      </c>
      <c r="L59" s="24">
        <v>16.76</v>
      </c>
      <c r="M59" s="33"/>
      <c r="N59" s="24">
        <v>16.76</v>
      </c>
      <c r="O59" s="24">
        <v>16.76</v>
      </c>
      <c r="P59" s="24">
        <v>16.76</v>
      </c>
      <c r="Q59" s="24">
        <v>16.76</v>
      </c>
      <c r="R59" s="33"/>
      <c r="S59" s="24">
        <v>16.76</v>
      </c>
      <c r="T59" s="24">
        <v>16.76</v>
      </c>
      <c r="U59" s="24">
        <v>16.76</v>
      </c>
      <c r="V59" s="24">
        <v>16.76</v>
      </c>
      <c r="W59" s="35"/>
    </row>
    <row r="60" spans="1:23" ht="12.75">
      <c r="A60" s="22" t="s">
        <v>19</v>
      </c>
      <c r="B60" s="23">
        <v>76.51216828236977</v>
      </c>
      <c r="C60" s="33"/>
      <c r="D60" s="24">
        <v>73.36</v>
      </c>
      <c r="E60" s="24">
        <v>139.76</v>
      </c>
      <c r="F60" s="24">
        <v>192.88</v>
      </c>
      <c r="G60" s="24">
        <v>265.92</v>
      </c>
      <c r="H60" s="33"/>
      <c r="I60" s="24">
        <v>73.36</v>
      </c>
      <c r="J60" s="24">
        <v>139.76</v>
      </c>
      <c r="K60" s="24">
        <v>192.88</v>
      </c>
      <c r="L60" s="24">
        <v>265.92</v>
      </c>
      <c r="M60" s="33"/>
      <c r="N60" s="24">
        <v>73.36</v>
      </c>
      <c r="O60" s="24">
        <v>139.76</v>
      </c>
      <c r="P60" s="24">
        <v>192.88</v>
      </c>
      <c r="Q60" s="24">
        <v>265.92</v>
      </c>
      <c r="R60" s="33"/>
      <c r="S60" s="24">
        <v>73.36</v>
      </c>
      <c r="T60" s="24">
        <v>139.76</v>
      </c>
      <c r="U60" s="24">
        <v>192.88</v>
      </c>
      <c r="V60" s="24">
        <v>265.92</v>
      </c>
      <c r="W60" s="35"/>
    </row>
    <row r="61" spans="1:23" ht="12.75">
      <c r="A61" s="22" t="s">
        <v>20</v>
      </c>
      <c r="B61" s="23">
        <v>76.51216828236977</v>
      </c>
      <c r="C61" s="33"/>
      <c r="D61" s="24">
        <v>16.76</v>
      </c>
      <c r="E61" s="24">
        <v>16.76</v>
      </c>
      <c r="F61" s="24">
        <v>16.76</v>
      </c>
      <c r="G61" s="24">
        <v>16.76</v>
      </c>
      <c r="H61" s="33"/>
      <c r="I61" s="24">
        <v>16.76</v>
      </c>
      <c r="J61" s="24">
        <v>16.76</v>
      </c>
      <c r="K61" s="24">
        <v>16.76</v>
      </c>
      <c r="L61" s="24">
        <v>16.76</v>
      </c>
      <c r="M61" s="33"/>
      <c r="N61" s="24">
        <v>16.76</v>
      </c>
      <c r="O61" s="24">
        <v>16.76</v>
      </c>
      <c r="P61" s="24">
        <v>16.76</v>
      </c>
      <c r="Q61" s="24">
        <v>16.76</v>
      </c>
      <c r="R61" s="33"/>
      <c r="S61" s="24">
        <v>16.76</v>
      </c>
      <c r="T61" s="24">
        <v>16.76</v>
      </c>
      <c r="U61" s="24">
        <v>16.76</v>
      </c>
      <c r="V61" s="24">
        <v>16.76</v>
      </c>
      <c r="W61" s="35"/>
    </row>
    <row r="62" spans="1:23" ht="12.75">
      <c r="A62" s="22" t="s">
        <v>21</v>
      </c>
      <c r="B62" s="23">
        <v>76.51216828236977</v>
      </c>
      <c r="C62" s="33"/>
      <c r="D62" s="24">
        <v>93.28</v>
      </c>
      <c r="E62" s="24">
        <v>192.88</v>
      </c>
      <c r="F62" s="24">
        <v>272.56</v>
      </c>
      <c r="G62" s="24">
        <v>382.12</v>
      </c>
      <c r="H62" s="33"/>
      <c r="I62" s="24">
        <v>93.28</v>
      </c>
      <c r="J62" s="24">
        <v>192.88</v>
      </c>
      <c r="K62" s="24">
        <v>272.56</v>
      </c>
      <c r="L62" s="24">
        <v>382.12</v>
      </c>
      <c r="M62" s="33"/>
      <c r="N62" s="24">
        <v>93.28</v>
      </c>
      <c r="O62" s="24">
        <v>192.88</v>
      </c>
      <c r="P62" s="24">
        <v>272.56</v>
      </c>
      <c r="Q62" s="24">
        <v>382.12</v>
      </c>
      <c r="R62" s="33"/>
      <c r="S62" s="24">
        <v>93.28</v>
      </c>
      <c r="T62" s="24">
        <v>192.88</v>
      </c>
      <c r="U62" s="24">
        <v>272.56</v>
      </c>
      <c r="V62" s="24">
        <v>382.12</v>
      </c>
      <c r="W62" s="35"/>
    </row>
    <row r="63" spans="1:23" ht="12.75">
      <c r="A63" s="22" t="s">
        <v>22</v>
      </c>
      <c r="B63" s="23">
        <v>76.51216828236977</v>
      </c>
      <c r="C63" s="33"/>
      <c r="D63" s="24">
        <v>16.76</v>
      </c>
      <c r="E63" s="24">
        <v>16.76</v>
      </c>
      <c r="F63" s="24">
        <v>16.76</v>
      </c>
      <c r="G63" s="24">
        <v>16.76</v>
      </c>
      <c r="H63" s="33"/>
      <c r="I63" s="24">
        <v>16.76</v>
      </c>
      <c r="J63" s="24">
        <v>16.76</v>
      </c>
      <c r="K63" s="24">
        <v>16.76</v>
      </c>
      <c r="L63" s="24">
        <v>16.76</v>
      </c>
      <c r="M63" s="33"/>
      <c r="N63" s="24">
        <v>16.76</v>
      </c>
      <c r="O63" s="24">
        <v>16.76</v>
      </c>
      <c r="P63" s="24">
        <v>16.76</v>
      </c>
      <c r="Q63" s="24">
        <v>16.76</v>
      </c>
      <c r="R63" s="33"/>
      <c r="S63" s="24">
        <v>16.76</v>
      </c>
      <c r="T63" s="24">
        <v>16.76</v>
      </c>
      <c r="U63" s="24">
        <v>16.76</v>
      </c>
      <c r="V63" s="24">
        <v>16.76</v>
      </c>
      <c r="W63" s="35"/>
    </row>
    <row r="64" spans="1:23" ht="12.75">
      <c r="A64" s="38" t="s">
        <v>23</v>
      </c>
      <c r="B64" s="39">
        <v>76.51216828236977</v>
      </c>
      <c r="C64" s="33"/>
      <c r="D64" s="40">
        <v>113.2</v>
      </c>
      <c r="E64" s="40">
        <v>246</v>
      </c>
      <c r="F64" s="40">
        <v>352.24</v>
      </c>
      <c r="G64" s="40">
        <v>498.32</v>
      </c>
      <c r="H64" s="33"/>
      <c r="I64" s="40">
        <v>113.2</v>
      </c>
      <c r="J64" s="40">
        <v>246</v>
      </c>
      <c r="K64" s="40">
        <v>352.24</v>
      </c>
      <c r="L64" s="40">
        <v>498.32</v>
      </c>
      <c r="M64" s="33"/>
      <c r="N64" s="40">
        <v>113.2</v>
      </c>
      <c r="O64" s="40">
        <v>246</v>
      </c>
      <c r="P64" s="40">
        <v>352.24</v>
      </c>
      <c r="Q64" s="40">
        <v>498.32</v>
      </c>
      <c r="R64" s="33"/>
      <c r="S64" s="40">
        <v>113.2</v>
      </c>
      <c r="T64" s="40">
        <v>246</v>
      </c>
      <c r="U64" s="40">
        <v>352.24</v>
      </c>
      <c r="V64" s="41">
        <v>498.32</v>
      </c>
      <c r="W64" s="35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6.00390625" style="5" customWidth="1"/>
    <col min="2" max="16384" width="9.140625" style="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ht="26.25" customHeight="1">
      <c r="A2" s="10" t="s">
        <v>42</v>
      </c>
    </row>
    <row r="3" ht="12.75"/>
    <row r="4" spans="1:22" ht="38.25" customHeight="1">
      <c r="A4" s="6"/>
      <c r="B4" s="6"/>
      <c r="C4" s="6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</row>
    <row r="5" spans="1:22" ht="36">
      <c r="A5" s="6"/>
      <c r="B5" s="13" t="s">
        <v>8</v>
      </c>
      <c r="C5" s="14" t="s">
        <v>35</v>
      </c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4"/>
      <c r="S5" s="108" t="s">
        <v>4</v>
      </c>
      <c r="T5" s="109" t="s">
        <v>5</v>
      </c>
      <c r="U5" s="109" t="s">
        <v>6</v>
      </c>
      <c r="V5" s="110" t="s">
        <v>7</v>
      </c>
    </row>
    <row r="6" spans="1:22" ht="12.75">
      <c r="A6" s="6"/>
      <c r="B6" s="91"/>
      <c r="C6" s="92"/>
      <c r="D6" s="92"/>
      <c r="E6" s="93"/>
      <c r="F6" s="92"/>
      <c r="G6" s="94"/>
      <c r="H6" s="6"/>
      <c r="I6" s="103"/>
      <c r="J6" s="92"/>
      <c r="K6" s="92"/>
      <c r="L6" s="94"/>
      <c r="M6" s="6"/>
      <c r="N6" s="103"/>
      <c r="O6" s="92"/>
      <c r="P6" s="92"/>
      <c r="Q6" s="94"/>
      <c r="R6" s="6"/>
      <c r="S6" s="103"/>
      <c r="T6" s="92"/>
      <c r="U6" s="92"/>
      <c r="V6" s="94"/>
    </row>
    <row r="7" spans="1:22" ht="12.75">
      <c r="A7" s="90" t="s">
        <v>9</v>
      </c>
      <c r="B7" s="95"/>
      <c r="C7" s="96"/>
      <c r="D7" s="96"/>
      <c r="E7" s="96"/>
      <c r="F7" s="96"/>
      <c r="G7" s="97"/>
      <c r="H7" s="6"/>
      <c r="I7" s="95"/>
      <c r="J7" s="96"/>
      <c r="K7" s="96"/>
      <c r="L7" s="97"/>
      <c r="M7" s="6"/>
      <c r="N7" s="95"/>
      <c r="O7" s="96"/>
      <c r="P7" s="96"/>
      <c r="Q7" s="97"/>
      <c r="R7" s="6"/>
      <c r="S7" s="95"/>
      <c r="T7" s="96"/>
      <c r="U7" s="96"/>
      <c r="V7" s="97"/>
    </row>
    <row r="8" spans="1:22" ht="12.75">
      <c r="A8" s="22" t="s">
        <v>10</v>
      </c>
      <c r="B8" s="98">
        <v>200.05625406835097</v>
      </c>
      <c r="C8" s="1"/>
      <c r="D8" s="1"/>
      <c r="E8" s="1"/>
      <c r="F8" s="1"/>
      <c r="G8" s="99"/>
      <c r="H8" s="7"/>
      <c r="I8" s="104"/>
      <c r="J8" s="1"/>
      <c r="K8" s="1"/>
      <c r="L8" s="99"/>
      <c r="M8" s="7"/>
      <c r="N8" s="104"/>
      <c r="O8" s="1"/>
      <c r="P8" s="1"/>
      <c r="Q8" s="99"/>
      <c r="R8" s="7"/>
      <c r="S8" s="104"/>
      <c r="T8" s="1"/>
      <c r="U8" s="1"/>
      <c r="V8" s="99"/>
    </row>
    <row r="9" spans="1:22" ht="12.75">
      <c r="A9" s="22" t="s">
        <v>11</v>
      </c>
      <c r="B9" s="98">
        <v>229.30359875081356</v>
      </c>
      <c r="C9" s="1"/>
      <c r="D9" s="1"/>
      <c r="E9" s="1"/>
      <c r="F9" s="1"/>
      <c r="G9" s="99"/>
      <c r="H9" s="7"/>
      <c r="I9" s="104"/>
      <c r="J9" s="1"/>
      <c r="K9" s="1"/>
      <c r="L9" s="99"/>
      <c r="M9" s="7"/>
      <c r="N9" s="104"/>
      <c r="O9" s="1"/>
      <c r="P9" s="1"/>
      <c r="Q9" s="99"/>
      <c r="R9" s="7"/>
      <c r="S9" s="104"/>
      <c r="T9" s="1"/>
      <c r="U9" s="1"/>
      <c r="V9" s="99"/>
    </row>
    <row r="10" spans="1:22" ht="12.75">
      <c r="A10" s="22" t="s">
        <v>12</v>
      </c>
      <c r="B10" s="98">
        <v>200.05625406835097</v>
      </c>
      <c r="C10" s="1"/>
      <c r="D10" s="1"/>
      <c r="E10" s="1"/>
      <c r="F10" s="1"/>
      <c r="G10" s="99"/>
      <c r="H10" s="7"/>
      <c r="I10" s="104"/>
      <c r="J10" s="1"/>
      <c r="K10" s="1"/>
      <c r="L10" s="99"/>
      <c r="M10" s="7"/>
      <c r="N10" s="104"/>
      <c r="O10" s="1"/>
      <c r="P10" s="1"/>
      <c r="Q10" s="99"/>
      <c r="R10" s="7"/>
      <c r="S10" s="104"/>
      <c r="T10" s="1"/>
      <c r="U10" s="1"/>
      <c r="V10" s="99"/>
    </row>
    <row r="11" spans="1:22" ht="12.75">
      <c r="A11" s="22" t="s">
        <v>13</v>
      </c>
      <c r="B11" s="98">
        <v>229.30359875081356</v>
      </c>
      <c r="C11" s="1"/>
      <c r="D11" s="1"/>
      <c r="E11" s="1"/>
      <c r="F11" s="1"/>
      <c r="G11" s="99"/>
      <c r="H11" s="7"/>
      <c r="I11" s="104"/>
      <c r="J11" s="1"/>
      <c r="K11" s="1"/>
      <c r="L11" s="99"/>
      <c r="M11" s="7"/>
      <c r="N11" s="104"/>
      <c r="O11" s="1"/>
      <c r="P11" s="1"/>
      <c r="Q11" s="99"/>
      <c r="R11" s="7"/>
      <c r="S11" s="104"/>
      <c r="T11" s="1"/>
      <c r="U11" s="1"/>
      <c r="V11" s="99"/>
    </row>
    <row r="12" spans="1:22" ht="12.75">
      <c r="A12" s="22" t="s">
        <v>14</v>
      </c>
      <c r="B12" s="98">
        <v>200.05625406835097</v>
      </c>
      <c r="C12" s="1"/>
      <c r="D12" s="1"/>
      <c r="E12" s="1"/>
      <c r="F12" s="1"/>
      <c r="G12" s="99"/>
      <c r="H12" s="7"/>
      <c r="I12" s="105"/>
      <c r="J12" s="1"/>
      <c r="K12" s="1"/>
      <c r="L12" s="99"/>
      <c r="M12" s="7"/>
      <c r="N12" s="104"/>
      <c r="O12" s="1"/>
      <c r="P12" s="1"/>
      <c r="Q12" s="99"/>
      <c r="R12" s="7"/>
      <c r="S12" s="104"/>
      <c r="T12" s="1"/>
      <c r="U12" s="1"/>
      <c r="V12" s="99"/>
    </row>
    <row r="13" spans="1:22" ht="12.75">
      <c r="A13" s="22" t="s">
        <v>15</v>
      </c>
      <c r="B13" s="98">
        <v>200.05625406835097</v>
      </c>
      <c r="C13" s="1"/>
      <c r="D13" s="1"/>
      <c r="E13" s="1"/>
      <c r="F13" s="1"/>
      <c r="G13" s="99"/>
      <c r="H13" s="7"/>
      <c r="I13" s="104"/>
      <c r="J13" s="1"/>
      <c r="K13" s="1"/>
      <c r="L13" s="99"/>
      <c r="M13" s="7"/>
      <c r="N13" s="104"/>
      <c r="O13" s="1"/>
      <c r="P13" s="1"/>
      <c r="Q13" s="99"/>
      <c r="R13" s="7"/>
      <c r="S13" s="104"/>
      <c r="T13" s="2"/>
      <c r="U13" s="1"/>
      <c r="V13" s="99"/>
    </row>
    <row r="14" spans="1:22" ht="12.75">
      <c r="A14" s="22" t="s">
        <v>16</v>
      </c>
      <c r="B14" s="98">
        <v>229.30359875081356</v>
      </c>
      <c r="C14" s="1"/>
      <c r="D14" s="1"/>
      <c r="E14" s="1"/>
      <c r="F14" s="1"/>
      <c r="G14" s="99"/>
      <c r="H14" s="7"/>
      <c r="I14" s="104"/>
      <c r="J14" s="1"/>
      <c r="K14" s="1"/>
      <c r="L14" s="99"/>
      <c r="M14" s="7"/>
      <c r="N14" s="104"/>
      <c r="O14" s="1"/>
      <c r="P14" s="1"/>
      <c r="Q14" s="99"/>
      <c r="R14" s="7"/>
      <c r="S14" s="104"/>
      <c r="T14" s="1"/>
      <c r="U14" s="1"/>
      <c r="V14" s="107"/>
    </row>
    <row r="15" spans="1:22" ht="12.75">
      <c r="A15" s="22" t="s">
        <v>17</v>
      </c>
      <c r="B15" s="98">
        <v>229.30359875081356</v>
      </c>
      <c r="C15" s="1"/>
      <c r="D15" s="1"/>
      <c r="E15" s="1"/>
      <c r="F15" s="1"/>
      <c r="G15" s="99"/>
      <c r="H15" s="7"/>
      <c r="I15" s="104"/>
      <c r="J15" s="1"/>
      <c r="K15" s="1"/>
      <c r="L15" s="99"/>
      <c r="M15" s="7"/>
      <c r="N15" s="104"/>
      <c r="O15" s="1"/>
      <c r="P15" s="1"/>
      <c r="Q15" s="99"/>
      <c r="R15" s="7"/>
      <c r="S15" s="104"/>
      <c r="T15" s="1"/>
      <c r="U15" s="1"/>
      <c r="V15" s="99"/>
    </row>
    <row r="16" spans="1:22" ht="12.75">
      <c r="A16" s="22" t="s">
        <v>18</v>
      </c>
      <c r="B16" s="98">
        <v>265.8999350974548</v>
      </c>
      <c r="C16" s="1"/>
      <c r="D16" s="1">
        <v>535.58</v>
      </c>
      <c r="E16" s="1"/>
      <c r="F16" s="1"/>
      <c r="G16" s="99"/>
      <c r="H16" s="7"/>
      <c r="I16" s="104">
        <v>547.1</v>
      </c>
      <c r="J16" s="3"/>
      <c r="K16" s="1"/>
      <c r="L16" s="99"/>
      <c r="M16" s="7"/>
      <c r="N16" s="104">
        <v>545.06</v>
      </c>
      <c r="O16" s="1"/>
      <c r="P16" s="1"/>
      <c r="Q16" s="99"/>
      <c r="R16" s="7"/>
      <c r="S16" s="104">
        <v>541.6999999999999</v>
      </c>
      <c r="T16" s="1"/>
      <c r="U16" s="1"/>
      <c r="V16" s="99"/>
    </row>
    <row r="17" spans="1:22" ht="12.75">
      <c r="A17" s="22" t="s">
        <v>19</v>
      </c>
      <c r="B17" s="98">
        <v>265.8999350974548</v>
      </c>
      <c r="C17" s="1"/>
      <c r="D17" s="1"/>
      <c r="E17" s="1"/>
      <c r="F17" s="1"/>
      <c r="G17" s="99"/>
      <c r="H17" s="7"/>
      <c r="I17" s="104"/>
      <c r="J17" s="1"/>
      <c r="K17" s="1"/>
      <c r="L17" s="99"/>
      <c r="M17" s="7"/>
      <c r="N17" s="104"/>
      <c r="O17" s="1"/>
      <c r="P17" s="1"/>
      <c r="Q17" s="99"/>
      <c r="R17" s="7"/>
      <c r="S17" s="104"/>
      <c r="T17" s="1"/>
      <c r="U17" s="1"/>
      <c r="V17" s="99"/>
    </row>
    <row r="18" spans="1:22" ht="12.75">
      <c r="A18" s="22" t="s">
        <v>20</v>
      </c>
      <c r="B18" s="98">
        <v>265.8999350974548</v>
      </c>
      <c r="C18" s="1"/>
      <c r="D18" s="1">
        <v>535.58</v>
      </c>
      <c r="E18" s="1">
        <v>594.88</v>
      </c>
      <c r="F18" s="1"/>
      <c r="G18" s="99"/>
      <c r="H18" s="7"/>
      <c r="I18" s="104">
        <v>547.1</v>
      </c>
      <c r="J18" s="1">
        <v>625.6</v>
      </c>
      <c r="K18" s="1"/>
      <c r="L18" s="99"/>
      <c r="M18" s="7"/>
      <c r="N18" s="104">
        <v>545.06</v>
      </c>
      <c r="O18" s="1">
        <v>620.1600000000001</v>
      </c>
      <c r="P18" s="1"/>
      <c r="Q18" s="99"/>
      <c r="R18" s="7"/>
      <c r="S18" s="104">
        <v>541.7</v>
      </c>
      <c r="T18" s="1">
        <v>611.2</v>
      </c>
      <c r="U18" s="1"/>
      <c r="V18" s="99"/>
    </row>
    <row r="19" spans="1:22" ht="12.75">
      <c r="A19" s="22" t="s">
        <v>21</v>
      </c>
      <c r="B19" s="98">
        <v>265.8999350974548</v>
      </c>
      <c r="C19" s="1"/>
      <c r="D19" s="1">
        <v>571.16</v>
      </c>
      <c r="E19" s="1"/>
      <c r="F19" s="1"/>
      <c r="G19" s="99"/>
      <c r="H19" s="7"/>
      <c r="I19" s="104">
        <v>594.2</v>
      </c>
      <c r="J19" s="1"/>
      <c r="K19" s="1"/>
      <c r="L19" s="99"/>
      <c r="M19" s="7"/>
      <c r="N19" s="104">
        <v>590.12</v>
      </c>
      <c r="O19" s="1"/>
      <c r="P19" s="1"/>
      <c r="Q19" s="99"/>
      <c r="R19" s="7"/>
      <c r="S19" s="104">
        <v>583.4</v>
      </c>
      <c r="T19" s="1"/>
      <c r="U19" s="1"/>
      <c r="V19" s="99"/>
    </row>
    <row r="20" spans="1:22" ht="12.75">
      <c r="A20" s="22" t="s">
        <v>22</v>
      </c>
      <c r="B20" s="98">
        <v>265.8999350974548</v>
      </c>
      <c r="C20" s="1"/>
      <c r="D20" s="1">
        <v>535.58</v>
      </c>
      <c r="E20" s="1">
        <v>594.88</v>
      </c>
      <c r="F20" s="1"/>
      <c r="G20" s="99"/>
      <c r="H20" s="7"/>
      <c r="I20" s="104">
        <v>547.1</v>
      </c>
      <c r="J20" s="1">
        <v>625.6</v>
      </c>
      <c r="K20" s="1"/>
      <c r="L20" s="99"/>
      <c r="M20" s="7"/>
      <c r="N20" s="104">
        <v>545.0600000000001</v>
      </c>
      <c r="O20" s="1">
        <v>620.16</v>
      </c>
      <c r="P20" s="1"/>
      <c r="Q20" s="99"/>
      <c r="R20" s="7"/>
      <c r="S20" s="104">
        <v>541.7</v>
      </c>
      <c r="T20" s="1">
        <v>611.2</v>
      </c>
      <c r="U20" s="1"/>
      <c r="V20" s="99"/>
    </row>
    <row r="21" spans="1:22" ht="12.75">
      <c r="A21" s="22" t="s">
        <v>23</v>
      </c>
      <c r="B21" s="98">
        <v>265.8999350974548</v>
      </c>
      <c r="C21" s="1"/>
      <c r="D21" s="1">
        <v>571.1600000000001</v>
      </c>
      <c r="E21" s="1"/>
      <c r="F21" s="1"/>
      <c r="G21" s="99"/>
      <c r="H21" s="7"/>
      <c r="I21" s="104">
        <v>594.1999999999999</v>
      </c>
      <c r="J21" s="1"/>
      <c r="K21" s="1"/>
      <c r="L21" s="99"/>
      <c r="M21" s="7"/>
      <c r="N21" s="104">
        <v>590.12</v>
      </c>
      <c r="O21" s="1"/>
      <c r="P21" s="1"/>
      <c r="Q21" s="99"/>
      <c r="R21" s="7"/>
      <c r="S21" s="104">
        <v>583.4</v>
      </c>
      <c r="T21" s="1"/>
      <c r="U21" s="1"/>
      <c r="V21" s="99"/>
    </row>
    <row r="22" spans="1:22" ht="12.75">
      <c r="A22" s="90" t="s">
        <v>24</v>
      </c>
      <c r="B22" s="95"/>
      <c r="C22" s="1"/>
      <c r="D22" s="1"/>
      <c r="E22" s="1"/>
      <c r="F22" s="1"/>
      <c r="G22" s="99"/>
      <c r="H22" s="7"/>
      <c r="I22" s="104"/>
      <c r="J22" s="1"/>
      <c r="K22" s="1"/>
      <c r="L22" s="99"/>
      <c r="M22" s="7"/>
      <c r="N22" s="104"/>
      <c r="O22" s="1"/>
      <c r="P22" s="1"/>
      <c r="Q22" s="99"/>
      <c r="R22" s="7"/>
      <c r="S22" s="104"/>
      <c r="T22" s="1"/>
      <c r="U22" s="1"/>
      <c r="V22" s="99"/>
    </row>
    <row r="23" spans="1:22" ht="12.75">
      <c r="A23" s="22" t="s">
        <v>10</v>
      </c>
      <c r="B23" s="98">
        <v>73.89554166666649</v>
      </c>
      <c r="C23" s="1"/>
      <c r="D23" s="1"/>
      <c r="E23" s="1"/>
      <c r="F23" s="1"/>
      <c r="G23" s="99"/>
      <c r="H23" s="7"/>
      <c r="I23" s="104"/>
      <c r="J23" s="1"/>
      <c r="K23" s="1"/>
      <c r="L23" s="99"/>
      <c r="M23" s="7"/>
      <c r="N23" s="104"/>
      <c r="O23" s="1"/>
      <c r="P23" s="1"/>
      <c r="Q23" s="99"/>
      <c r="R23" s="7"/>
      <c r="S23" s="104"/>
      <c r="T23" s="1"/>
      <c r="U23" s="1"/>
      <c r="V23" s="107"/>
    </row>
    <row r="24" spans="1:22" ht="12.75">
      <c r="A24" s="22" t="s">
        <v>11</v>
      </c>
      <c r="B24" s="98">
        <v>84.69874493410276</v>
      </c>
      <c r="C24" s="1"/>
      <c r="D24" s="1"/>
      <c r="E24" s="1"/>
      <c r="F24" s="1"/>
      <c r="G24" s="99"/>
      <c r="H24" s="7"/>
      <c r="I24" s="104"/>
      <c r="J24" s="1"/>
      <c r="K24" s="1"/>
      <c r="L24" s="99"/>
      <c r="M24" s="7"/>
      <c r="N24" s="104"/>
      <c r="O24" s="1"/>
      <c r="P24" s="1"/>
      <c r="Q24" s="99"/>
      <c r="R24" s="7"/>
      <c r="S24" s="104"/>
      <c r="T24" s="1"/>
      <c r="U24" s="1"/>
      <c r="V24" s="99"/>
    </row>
    <row r="25" spans="1:22" ht="12.75">
      <c r="A25" s="22" t="s">
        <v>12</v>
      </c>
      <c r="B25" s="98">
        <v>73.89554166666649</v>
      </c>
      <c r="C25" s="1"/>
      <c r="D25" s="1"/>
      <c r="E25" s="1"/>
      <c r="F25" s="1"/>
      <c r="G25" s="99"/>
      <c r="H25" s="7"/>
      <c r="I25" s="104"/>
      <c r="J25" s="1"/>
      <c r="K25" s="1"/>
      <c r="L25" s="99"/>
      <c r="M25" s="7"/>
      <c r="N25" s="104"/>
      <c r="O25" s="1"/>
      <c r="P25" s="1"/>
      <c r="Q25" s="99"/>
      <c r="R25" s="7"/>
      <c r="S25" s="104"/>
      <c r="T25" s="1"/>
      <c r="U25" s="1"/>
      <c r="V25" s="99"/>
    </row>
    <row r="26" spans="1:22" ht="12.75">
      <c r="A26" s="22" t="s">
        <v>13</v>
      </c>
      <c r="B26" s="98">
        <v>84.69874493410276</v>
      </c>
      <c r="C26" s="1"/>
      <c r="D26" s="1"/>
      <c r="E26" s="1"/>
      <c r="F26" s="1"/>
      <c r="G26" s="99"/>
      <c r="H26" s="7"/>
      <c r="I26" s="104"/>
      <c r="J26" s="1"/>
      <c r="K26" s="1"/>
      <c r="L26" s="99"/>
      <c r="M26" s="7"/>
      <c r="N26" s="104"/>
      <c r="O26" s="1"/>
      <c r="P26" s="1"/>
      <c r="Q26" s="99"/>
      <c r="R26" s="7"/>
      <c r="S26" s="104"/>
      <c r="T26" s="1"/>
      <c r="U26" s="1"/>
      <c r="V26" s="99"/>
    </row>
    <row r="27" spans="1:22" ht="12.75">
      <c r="A27" s="22" t="s">
        <v>14</v>
      </c>
      <c r="B27" s="98">
        <v>73.89554166666649</v>
      </c>
      <c r="C27" s="1"/>
      <c r="D27" s="1"/>
      <c r="E27" s="1"/>
      <c r="F27" s="1"/>
      <c r="G27" s="99"/>
      <c r="H27" s="7"/>
      <c r="I27" s="104"/>
      <c r="J27" s="1"/>
      <c r="K27" s="1"/>
      <c r="L27" s="99"/>
      <c r="M27" s="7"/>
      <c r="N27" s="104"/>
      <c r="O27" s="1"/>
      <c r="P27" s="1"/>
      <c r="Q27" s="99"/>
      <c r="R27" s="7"/>
      <c r="S27" s="104"/>
      <c r="T27" s="1"/>
      <c r="U27" s="1"/>
      <c r="V27" s="99"/>
    </row>
    <row r="28" spans="1:22" ht="12.75">
      <c r="A28" s="22" t="s">
        <v>15</v>
      </c>
      <c r="B28" s="98">
        <v>73.89554166666649</v>
      </c>
      <c r="C28" s="1"/>
      <c r="D28" s="1"/>
      <c r="E28" s="1"/>
      <c r="F28" s="1"/>
      <c r="G28" s="99"/>
      <c r="H28" s="7"/>
      <c r="I28" s="104"/>
      <c r="J28" s="1"/>
      <c r="K28" s="1"/>
      <c r="L28" s="99"/>
      <c r="M28" s="7"/>
      <c r="N28" s="104"/>
      <c r="O28" s="1"/>
      <c r="P28" s="1"/>
      <c r="Q28" s="99"/>
      <c r="R28" s="7"/>
      <c r="S28" s="104"/>
      <c r="T28" s="1"/>
      <c r="U28" s="1"/>
      <c r="V28" s="99"/>
    </row>
    <row r="29" spans="1:22" ht="12.75">
      <c r="A29" s="22" t="s">
        <v>16</v>
      </c>
      <c r="B29" s="98">
        <v>84.69874493410276</v>
      </c>
      <c r="C29" s="1"/>
      <c r="D29" s="1"/>
      <c r="E29" s="1"/>
      <c r="F29" s="1"/>
      <c r="G29" s="99"/>
      <c r="H29" s="7"/>
      <c r="I29" s="104"/>
      <c r="J29" s="1"/>
      <c r="K29" s="1"/>
      <c r="L29" s="99"/>
      <c r="M29" s="7"/>
      <c r="N29" s="104"/>
      <c r="O29" s="1"/>
      <c r="P29" s="1"/>
      <c r="Q29" s="99"/>
      <c r="R29" s="7"/>
      <c r="S29" s="104"/>
      <c r="T29" s="1"/>
      <c r="U29" s="1"/>
      <c r="V29" s="99"/>
    </row>
    <row r="30" spans="1:22" ht="12.75">
      <c r="A30" s="22" t="s">
        <v>17</v>
      </c>
      <c r="B30" s="98">
        <v>84.69874493410276</v>
      </c>
      <c r="C30" s="1"/>
      <c r="D30" s="1"/>
      <c r="E30" s="1"/>
      <c r="F30" s="1"/>
      <c r="G30" s="99"/>
      <c r="H30" s="7"/>
      <c r="I30" s="104"/>
      <c r="J30" s="1"/>
      <c r="K30" s="1"/>
      <c r="L30" s="99"/>
      <c r="M30" s="7"/>
      <c r="N30" s="104"/>
      <c r="O30" s="1"/>
      <c r="P30" s="1"/>
      <c r="Q30" s="99"/>
      <c r="R30" s="7"/>
      <c r="S30" s="104"/>
      <c r="T30" s="1"/>
      <c r="U30" s="1"/>
      <c r="V30" s="99"/>
    </row>
    <row r="31" spans="1:22" ht="12.75">
      <c r="A31" s="22" t="s">
        <v>18</v>
      </c>
      <c r="B31" s="98">
        <v>98.21647328478267</v>
      </c>
      <c r="C31" s="1"/>
      <c r="D31" s="1"/>
      <c r="E31" s="1"/>
      <c r="F31" s="1"/>
      <c r="G31" s="99"/>
      <c r="H31" s="7"/>
      <c r="I31" s="104"/>
      <c r="J31" s="1"/>
      <c r="K31" s="1"/>
      <c r="L31" s="99"/>
      <c r="M31" s="7"/>
      <c r="N31" s="104"/>
      <c r="O31" s="1"/>
      <c r="P31" s="1"/>
      <c r="Q31" s="99"/>
      <c r="R31" s="7"/>
      <c r="S31" s="104"/>
      <c r="T31" s="1"/>
      <c r="U31" s="1"/>
      <c r="V31" s="99"/>
    </row>
    <row r="32" spans="1:22" ht="12.75">
      <c r="A32" s="22" t="s">
        <v>19</v>
      </c>
      <c r="B32" s="98">
        <v>98.21647328478267</v>
      </c>
      <c r="C32" s="1"/>
      <c r="D32" s="1"/>
      <c r="E32" s="1"/>
      <c r="F32" s="1"/>
      <c r="G32" s="99"/>
      <c r="H32" s="7"/>
      <c r="I32" s="104"/>
      <c r="J32" s="1"/>
      <c r="K32" s="1"/>
      <c r="L32" s="99"/>
      <c r="M32" s="7"/>
      <c r="N32" s="104"/>
      <c r="O32" s="1"/>
      <c r="P32" s="1"/>
      <c r="Q32" s="99"/>
      <c r="R32" s="7"/>
      <c r="S32" s="104"/>
      <c r="T32" s="1"/>
      <c r="U32" s="1"/>
      <c r="V32" s="99"/>
    </row>
    <row r="33" spans="1:22" ht="12.75">
      <c r="A33" s="22" t="s">
        <v>20</v>
      </c>
      <c r="B33" s="98">
        <v>98.21647328478267</v>
      </c>
      <c r="C33" s="1"/>
      <c r="D33" s="1"/>
      <c r="E33" s="1"/>
      <c r="F33" s="1"/>
      <c r="G33" s="99"/>
      <c r="H33" s="7"/>
      <c r="I33" s="104"/>
      <c r="J33" s="1"/>
      <c r="K33" s="1"/>
      <c r="L33" s="99"/>
      <c r="M33" s="7"/>
      <c r="N33" s="104"/>
      <c r="O33" s="1"/>
      <c r="P33" s="1"/>
      <c r="Q33" s="99"/>
      <c r="R33" s="7"/>
      <c r="S33" s="104"/>
      <c r="T33" s="1"/>
      <c r="U33" s="1"/>
      <c r="V33" s="99"/>
    </row>
    <row r="34" spans="1:22" ht="12.75">
      <c r="A34" s="22" t="s">
        <v>21</v>
      </c>
      <c r="B34" s="98">
        <v>98.21647328478267</v>
      </c>
      <c r="C34" s="1"/>
      <c r="D34" s="1"/>
      <c r="E34" s="1"/>
      <c r="F34" s="1"/>
      <c r="G34" s="99"/>
      <c r="H34" s="7"/>
      <c r="I34" s="104"/>
      <c r="J34" s="1"/>
      <c r="K34" s="1"/>
      <c r="L34" s="99"/>
      <c r="M34" s="7"/>
      <c r="N34" s="104"/>
      <c r="O34" s="1"/>
      <c r="P34" s="1"/>
      <c r="Q34" s="99"/>
      <c r="R34" s="7"/>
      <c r="S34" s="104"/>
      <c r="T34" s="1"/>
      <c r="U34" s="1"/>
      <c r="V34" s="99"/>
    </row>
    <row r="35" spans="1:22" ht="12.75">
      <c r="A35" s="22" t="s">
        <v>22</v>
      </c>
      <c r="B35" s="98">
        <v>98.21647328478267</v>
      </c>
      <c r="C35" s="1"/>
      <c r="D35" s="1"/>
      <c r="E35" s="1"/>
      <c r="F35" s="1"/>
      <c r="G35" s="99"/>
      <c r="H35" s="7"/>
      <c r="I35" s="104"/>
      <c r="J35" s="1"/>
      <c r="K35" s="1"/>
      <c r="L35" s="99"/>
      <c r="M35" s="7"/>
      <c r="N35" s="104"/>
      <c r="O35" s="1"/>
      <c r="P35" s="1"/>
      <c r="Q35" s="99"/>
      <c r="R35" s="7"/>
      <c r="S35" s="104"/>
      <c r="T35" s="1"/>
      <c r="U35" s="1"/>
      <c r="V35" s="99"/>
    </row>
    <row r="36" spans="1:22" ht="12.75">
      <c r="A36" s="22" t="s">
        <v>23</v>
      </c>
      <c r="B36" s="98">
        <v>98.21647328478267</v>
      </c>
      <c r="C36" s="1"/>
      <c r="D36" s="1"/>
      <c r="E36" s="1"/>
      <c r="F36" s="1"/>
      <c r="G36" s="99"/>
      <c r="H36" s="7"/>
      <c r="I36" s="104"/>
      <c r="J36" s="1"/>
      <c r="K36" s="1"/>
      <c r="L36" s="99"/>
      <c r="M36" s="7"/>
      <c r="N36" s="104"/>
      <c r="O36" s="1"/>
      <c r="P36" s="1"/>
      <c r="Q36" s="99"/>
      <c r="R36" s="7"/>
      <c r="S36" s="104"/>
      <c r="T36" s="1"/>
      <c r="U36" s="1"/>
      <c r="V36" s="99"/>
    </row>
    <row r="37" spans="1:22" ht="12.75">
      <c r="A37" s="90" t="s">
        <v>25</v>
      </c>
      <c r="B37" s="95"/>
      <c r="C37" s="1"/>
      <c r="D37" s="1"/>
      <c r="E37" s="1"/>
      <c r="F37" s="1"/>
      <c r="G37" s="99"/>
      <c r="H37" s="7"/>
      <c r="I37" s="104"/>
      <c r="J37" s="1"/>
      <c r="K37" s="1"/>
      <c r="L37" s="99"/>
      <c r="M37" s="7"/>
      <c r="N37" s="104"/>
      <c r="O37" s="1"/>
      <c r="P37" s="1"/>
      <c r="Q37" s="99"/>
      <c r="R37" s="7"/>
      <c r="S37" s="104"/>
      <c r="T37" s="1"/>
      <c r="U37" s="1"/>
      <c r="V37" s="99"/>
    </row>
    <row r="38" spans="1:22" ht="12.75">
      <c r="A38" s="27" t="s">
        <v>10</v>
      </c>
      <c r="B38" s="98">
        <v>127.2225586275902</v>
      </c>
      <c r="C38" s="1"/>
      <c r="D38" s="1"/>
      <c r="E38" s="1"/>
      <c r="F38" s="1"/>
      <c r="G38" s="99"/>
      <c r="H38" s="7"/>
      <c r="I38" s="104"/>
      <c r="J38" s="1"/>
      <c r="K38" s="1"/>
      <c r="L38" s="99"/>
      <c r="M38" s="7"/>
      <c r="N38" s="104"/>
      <c r="O38" s="1"/>
      <c r="P38" s="1"/>
      <c r="Q38" s="99"/>
      <c r="R38" s="7"/>
      <c r="S38" s="104"/>
      <c r="T38" s="1"/>
      <c r="U38" s="1"/>
      <c r="V38" s="99"/>
    </row>
    <row r="39" spans="1:22" ht="12.75">
      <c r="A39" s="27" t="s">
        <v>11</v>
      </c>
      <c r="B39" s="98">
        <v>146.7261021760684</v>
      </c>
      <c r="C39" s="2"/>
      <c r="D39" s="1"/>
      <c r="E39" s="1"/>
      <c r="F39" s="1"/>
      <c r="G39" s="99"/>
      <c r="H39" s="7"/>
      <c r="I39" s="104"/>
      <c r="J39" s="1"/>
      <c r="K39" s="1"/>
      <c r="L39" s="99"/>
      <c r="M39" s="7"/>
      <c r="N39" s="104"/>
      <c r="O39" s="1"/>
      <c r="P39" s="1"/>
      <c r="Q39" s="99"/>
      <c r="R39" s="7"/>
      <c r="S39" s="104"/>
      <c r="T39" s="1"/>
      <c r="U39" s="1"/>
      <c r="V39" s="99"/>
    </row>
    <row r="40" spans="1:22" ht="12.75">
      <c r="A40" s="27" t="s">
        <v>12</v>
      </c>
      <c r="B40" s="98">
        <v>127.2225586275902</v>
      </c>
      <c r="C40" s="1"/>
      <c r="D40" s="1"/>
      <c r="E40" s="1"/>
      <c r="F40" s="1"/>
      <c r="G40" s="99"/>
      <c r="H40" s="7"/>
      <c r="I40" s="104"/>
      <c r="J40" s="1"/>
      <c r="K40" s="1"/>
      <c r="L40" s="99"/>
      <c r="M40" s="7"/>
      <c r="N40" s="104"/>
      <c r="O40" s="1"/>
      <c r="P40" s="1"/>
      <c r="Q40" s="99"/>
      <c r="R40" s="7"/>
      <c r="S40" s="104"/>
      <c r="T40" s="1"/>
      <c r="U40" s="1"/>
      <c r="V40" s="99"/>
    </row>
    <row r="41" spans="1:22" ht="12.75">
      <c r="A41" s="27" t="s">
        <v>13</v>
      </c>
      <c r="B41" s="98">
        <v>146.7261021760684</v>
      </c>
      <c r="C41" s="1"/>
      <c r="D41" s="1"/>
      <c r="E41" s="1"/>
      <c r="F41" s="1"/>
      <c r="G41" s="99"/>
      <c r="H41" s="7"/>
      <c r="I41" s="104"/>
      <c r="J41" s="1"/>
      <c r="K41" s="1"/>
      <c r="L41" s="99"/>
      <c r="M41" s="7"/>
      <c r="N41" s="104"/>
      <c r="O41" s="1"/>
      <c r="P41" s="1"/>
      <c r="Q41" s="99"/>
      <c r="R41" s="7"/>
      <c r="S41" s="104"/>
      <c r="T41" s="1"/>
      <c r="U41" s="1"/>
      <c r="V41" s="99"/>
    </row>
    <row r="42" spans="1:22" ht="12.75">
      <c r="A42" s="27" t="s">
        <v>14</v>
      </c>
      <c r="B42" s="98">
        <v>127.2225586275902</v>
      </c>
      <c r="C42" s="1"/>
      <c r="D42" s="1"/>
      <c r="E42" s="1"/>
      <c r="F42" s="1"/>
      <c r="G42" s="99"/>
      <c r="H42" s="7"/>
      <c r="I42" s="104"/>
      <c r="J42" s="1"/>
      <c r="K42" s="1"/>
      <c r="L42" s="99"/>
      <c r="M42" s="7"/>
      <c r="N42" s="104"/>
      <c r="O42" s="1"/>
      <c r="P42" s="1"/>
      <c r="Q42" s="99"/>
      <c r="R42" s="7"/>
      <c r="S42" s="104"/>
      <c r="T42" s="1"/>
      <c r="U42" s="1"/>
      <c r="V42" s="99"/>
    </row>
    <row r="43" spans="1:22" ht="12.75">
      <c r="A43" s="27" t="s">
        <v>15</v>
      </c>
      <c r="B43" s="98">
        <v>127.2225586275902</v>
      </c>
      <c r="C43" s="1"/>
      <c r="D43" s="1"/>
      <c r="E43" s="1"/>
      <c r="F43" s="1"/>
      <c r="G43" s="99"/>
      <c r="H43" s="7"/>
      <c r="I43" s="104"/>
      <c r="J43" s="1"/>
      <c r="K43" s="1"/>
      <c r="L43" s="99"/>
      <c r="M43" s="7"/>
      <c r="N43" s="104"/>
      <c r="O43" s="1"/>
      <c r="P43" s="1"/>
      <c r="Q43" s="99"/>
      <c r="R43" s="7"/>
      <c r="S43" s="104"/>
      <c r="T43" s="1"/>
      <c r="U43" s="1"/>
      <c r="V43" s="99"/>
    </row>
    <row r="44" spans="1:22" ht="12.75">
      <c r="A44" s="27" t="s">
        <v>16</v>
      </c>
      <c r="B44" s="98">
        <v>146.7261021760684</v>
      </c>
      <c r="C44" s="1"/>
      <c r="D44" s="1"/>
      <c r="E44" s="1"/>
      <c r="F44" s="1"/>
      <c r="G44" s="99"/>
      <c r="H44" s="7"/>
      <c r="I44" s="104"/>
      <c r="J44" s="1"/>
      <c r="K44" s="1"/>
      <c r="L44" s="99"/>
      <c r="M44" s="7"/>
      <c r="N44" s="104"/>
      <c r="O44" s="1"/>
      <c r="P44" s="1"/>
      <c r="Q44" s="99"/>
      <c r="R44" s="7"/>
      <c r="S44" s="104"/>
      <c r="T44" s="1"/>
      <c r="U44" s="1"/>
      <c r="V44" s="99"/>
    </row>
    <row r="45" spans="1:22" ht="12.75">
      <c r="A45" s="27" t="s">
        <v>17</v>
      </c>
      <c r="B45" s="98">
        <v>146.7261021760684</v>
      </c>
      <c r="C45" s="1"/>
      <c r="D45" s="1"/>
      <c r="E45" s="1"/>
      <c r="F45" s="1"/>
      <c r="G45" s="99"/>
      <c r="H45" s="7"/>
      <c r="I45" s="104"/>
      <c r="J45" s="1"/>
      <c r="K45" s="1"/>
      <c r="L45" s="99"/>
      <c r="M45" s="7"/>
      <c r="N45" s="104"/>
      <c r="O45" s="1"/>
      <c r="P45" s="1"/>
      <c r="Q45" s="99"/>
      <c r="R45" s="7"/>
      <c r="S45" s="104"/>
      <c r="T45" s="1"/>
      <c r="U45" s="1"/>
      <c r="V45" s="99"/>
    </row>
    <row r="46" spans="1:22" ht="12.75">
      <c r="A46" s="27" t="s">
        <v>18</v>
      </c>
      <c r="B46" s="98">
        <v>164.5548639965686</v>
      </c>
      <c r="C46" s="1"/>
      <c r="D46" s="1"/>
      <c r="E46" s="1"/>
      <c r="F46" s="1"/>
      <c r="G46" s="99"/>
      <c r="H46" s="7"/>
      <c r="I46" s="104"/>
      <c r="J46" s="1"/>
      <c r="K46" s="1"/>
      <c r="L46" s="99"/>
      <c r="M46" s="7"/>
      <c r="N46" s="104"/>
      <c r="O46" s="1"/>
      <c r="P46" s="1"/>
      <c r="Q46" s="99"/>
      <c r="R46" s="7"/>
      <c r="S46" s="104"/>
      <c r="T46" s="1"/>
      <c r="U46" s="1"/>
      <c r="V46" s="99"/>
    </row>
    <row r="47" spans="1:22" ht="12.75">
      <c r="A47" s="27" t="s">
        <v>19</v>
      </c>
      <c r="B47" s="98">
        <v>164.5548639965686</v>
      </c>
      <c r="C47" s="1"/>
      <c r="D47" s="1"/>
      <c r="E47" s="1"/>
      <c r="F47" s="1"/>
      <c r="G47" s="99"/>
      <c r="H47" s="7"/>
      <c r="I47" s="104"/>
      <c r="J47" s="1"/>
      <c r="K47" s="1"/>
      <c r="L47" s="99"/>
      <c r="M47" s="7"/>
      <c r="N47" s="104"/>
      <c r="O47" s="1"/>
      <c r="P47" s="1"/>
      <c r="Q47" s="99"/>
      <c r="R47" s="7"/>
      <c r="S47" s="104"/>
      <c r="T47" s="1"/>
      <c r="U47" s="1"/>
      <c r="V47" s="99"/>
    </row>
    <row r="48" spans="1:22" ht="12.75">
      <c r="A48" s="27" t="s">
        <v>20</v>
      </c>
      <c r="B48" s="98">
        <v>164.5548639965686</v>
      </c>
      <c r="C48" s="1"/>
      <c r="D48" s="1"/>
      <c r="E48" s="1"/>
      <c r="F48" s="1"/>
      <c r="G48" s="99"/>
      <c r="H48" s="7"/>
      <c r="I48" s="104"/>
      <c r="J48" s="1"/>
      <c r="K48" s="1"/>
      <c r="L48" s="99"/>
      <c r="M48" s="7"/>
      <c r="N48" s="104"/>
      <c r="O48" s="1"/>
      <c r="P48" s="1"/>
      <c r="Q48" s="99"/>
      <c r="R48" s="7"/>
      <c r="S48" s="104"/>
      <c r="T48" s="1"/>
      <c r="U48" s="1"/>
      <c r="V48" s="99"/>
    </row>
    <row r="49" spans="1:22" ht="12.75">
      <c r="A49" s="27" t="s">
        <v>21</v>
      </c>
      <c r="B49" s="98">
        <v>164.5548639965686</v>
      </c>
      <c r="C49" s="1"/>
      <c r="D49" s="1"/>
      <c r="E49" s="1"/>
      <c r="F49" s="1"/>
      <c r="G49" s="99"/>
      <c r="H49" s="7"/>
      <c r="I49" s="104"/>
      <c r="J49" s="1"/>
      <c r="K49" s="1"/>
      <c r="L49" s="99"/>
      <c r="M49" s="7"/>
      <c r="N49" s="104"/>
      <c r="O49" s="1"/>
      <c r="P49" s="1"/>
      <c r="Q49" s="99"/>
      <c r="R49" s="7"/>
      <c r="S49" s="104"/>
      <c r="T49" s="1"/>
      <c r="U49" s="1"/>
      <c r="V49" s="99"/>
    </row>
    <row r="50" spans="1:22" ht="12.75">
      <c r="A50" s="27" t="s">
        <v>22</v>
      </c>
      <c r="B50" s="98">
        <v>164.5548639965686</v>
      </c>
      <c r="C50" s="1"/>
      <c r="D50" s="1">
        <v>535.58</v>
      </c>
      <c r="E50" s="1">
        <v>594.8800000000001</v>
      </c>
      <c r="F50" s="1"/>
      <c r="G50" s="99"/>
      <c r="H50" s="7"/>
      <c r="I50" s="104">
        <v>547.0999999999999</v>
      </c>
      <c r="J50" s="1"/>
      <c r="K50" s="1"/>
      <c r="L50" s="99"/>
      <c r="M50" s="7"/>
      <c r="N50" s="104">
        <v>545.06</v>
      </c>
      <c r="O50" s="1"/>
      <c r="P50" s="1"/>
      <c r="Q50" s="99"/>
      <c r="R50" s="7"/>
      <c r="S50" s="104">
        <v>541.6999999999999</v>
      </c>
      <c r="T50" s="1"/>
      <c r="U50" s="1"/>
      <c r="V50" s="99"/>
    </row>
    <row r="51" spans="1:22" ht="12.75">
      <c r="A51" s="27" t="s">
        <v>23</v>
      </c>
      <c r="B51" s="98">
        <v>164.5548639965686</v>
      </c>
      <c r="C51" s="1"/>
      <c r="D51" s="1">
        <v>571.16</v>
      </c>
      <c r="E51" s="1"/>
      <c r="F51" s="1"/>
      <c r="G51" s="99"/>
      <c r="H51" s="7"/>
      <c r="I51" s="104">
        <v>594.1999999999999</v>
      </c>
      <c r="J51" s="1"/>
      <c r="K51" s="1"/>
      <c r="L51" s="99"/>
      <c r="M51" s="7"/>
      <c r="N51" s="104">
        <v>590.1199999999999</v>
      </c>
      <c r="O51" s="1"/>
      <c r="P51" s="1"/>
      <c r="Q51" s="99"/>
      <c r="R51" s="7"/>
      <c r="S51" s="104">
        <v>583.4000000000001</v>
      </c>
      <c r="T51" s="1"/>
      <c r="U51" s="1"/>
      <c r="V51" s="99"/>
    </row>
    <row r="52" spans="1:22" ht="12.75">
      <c r="A52" s="90" t="s">
        <v>26</v>
      </c>
      <c r="B52" s="95"/>
      <c r="C52" s="1"/>
      <c r="D52" s="1"/>
      <c r="E52" s="1"/>
      <c r="F52" s="1"/>
      <c r="G52" s="99"/>
      <c r="H52" s="7"/>
      <c r="I52" s="104"/>
      <c r="J52" s="1"/>
      <c r="K52" s="1"/>
      <c r="L52" s="99"/>
      <c r="M52" s="7"/>
      <c r="N52" s="104"/>
      <c r="O52" s="1"/>
      <c r="P52" s="1"/>
      <c r="Q52" s="99"/>
      <c r="R52" s="7"/>
      <c r="S52" s="104"/>
      <c r="T52" s="1"/>
      <c r="U52" s="1"/>
      <c r="V52" s="99"/>
    </row>
    <row r="53" spans="1:22" ht="12.75">
      <c r="A53" s="22" t="s">
        <v>10</v>
      </c>
      <c r="B53" s="98">
        <v>59.1539719860898</v>
      </c>
      <c r="C53" s="1"/>
      <c r="D53" s="1"/>
      <c r="E53" s="1"/>
      <c r="F53" s="1"/>
      <c r="G53" s="99"/>
      <c r="H53" s="7"/>
      <c r="I53" s="104"/>
      <c r="J53" s="1"/>
      <c r="K53" s="1"/>
      <c r="L53" s="99"/>
      <c r="M53" s="7"/>
      <c r="N53" s="104"/>
      <c r="O53" s="1"/>
      <c r="P53" s="1"/>
      <c r="Q53" s="99"/>
      <c r="R53" s="7"/>
      <c r="S53" s="104"/>
      <c r="T53" s="1"/>
      <c r="U53" s="1"/>
      <c r="V53" s="99"/>
    </row>
    <row r="54" spans="1:22" ht="12.75">
      <c r="A54" s="22" t="s">
        <v>11</v>
      </c>
      <c r="B54" s="98">
        <v>68.22242714955922</v>
      </c>
      <c r="C54" s="1"/>
      <c r="D54" s="1"/>
      <c r="E54" s="1"/>
      <c r="F54" s="1"/>
      <c r="G54" s="99"/>
      <c r="H54" s="7"/>
      <c r="I54" s="104"/>
      <c r="J54" s="1"/>
      <c r="K54" s="1"/>
      <c r="L54" s="99"/>
      <c r="M54" s="7"/>
      <c r="N54" s="104"/>
      <c r="O54" s="1"/>
      <c r="P54" s="1"/>
      <c r="Q54" s="99"/>
      <c r="R54" s="7"/>
      <c r="S54" s="104"/>
      <c r="T54" s="1"/>
      <c r="U54" s="1"/>
      <c r="V54" s="99"/>
    </row>
    <row r="55" spans="1:22" ht="12.75">
      <c r="A55" s="22" t="s">
        <v>12</v>
      </c>
      <c r="B55" s="98">
        <v>59.1539719860898</v>
      </c>
      <c r="C55" s="1"/>
      <c r="D55" s="1"/>
      <c r="E55" s="1"/>
      <c r="F55" s="1"/>
      <c r="G55" s="99"/>
      <c r="H55" s="7"/>
      <c r="I55" s="104"/>
      <c r="J55" s="1"/>
      <c r="K55" s="1"/>
      <c r="L55" s="99"/>
      <c r="M55" s="7"/>
      <c r="N55" s="104"/>
      <c r="O55" s="1"/>
      <c r="P55" s="1"/>
      <c r="Q55" s="99"/>
      <c r="R55" s="7"/>
      <c r="S55" s="104"/>
      <c r="T55" s="1"/>
      <c r="U55" s="1"/>
      <c r="V55" s="99"/>
    </row>
    <row r="56" spans="1:22" ht="12.75">
      <c r="A56" s="22" t="s">
        <v>13</v>
      </c>
      <c r="B56" s="98">
        <v>68.22242714955922</v>
      </c>
      <c r="C56" s="1"/>
      <c r="D56" s="1"/>
      <c r="E56" s="1"/>
      <c r="F56" s="1"/>
      <c r="G56" s="99"/>
      <c r="H56" s="7"/>
      <c r="I56" s="104"/>
      <c r="J56" s="1"/>
      <c r="K56" s="1"/>
      <c r="L56" s="99"/>
      <c r="M56" s="7"/>
      <c r="N56" s="104"/>
      <c r="O56" s="1"/>
      <c r="P56" s="1"/>
      <c r="Q56" s="99"/>
      <c r="R56" s="7"/>
      <c r="S56" s="104"/>
      <c r="T56" s="1"/>
      <c r="U56" s="1"/>
      <c r="V56" s="99"/>
    </row>
    <row r="57" spans="1:22" ht="12.75">
      <c r="A57" s="22" t="s">
        <v>14</v>
      </c>
      <c r="B57" s="98">
        <v>59.1539719860898</v>
      </c>
      <c r="C57" s="1"/>
      <c r="D57" s="1"/>
      <c r="E57" s="1"/>
      <c r="F57" s="1"/>
      <c r="G57" s="99"/>
      <c r="H57" s="7"/>
      <c r="I57" s="104"/>
      <c r="J57" s="1"/>
      <c r="K57" s="1"/>
      <c r="L57" s="99"/>
      <c r="M57" s="7"/>
      <c r="N57" s="104"/>
      <c r="O57" s="1"/>
      <c r="P57" s="1"/>
      <c r="Q57" s="99"/>
      <c r="R57" s="7"/>
      <c r="S57" s="104"/>
      <c r="T57" s="1"/>
      <c r="U57" s="1"/>
      <c r="V57" s="99"/>
    </row>
    <row r="58" spans="1:22" ht="12.75">
      <c r="A58" s="22" t="s">
        <v>15</v>
      </c>
      <c r="B58" s="98">
        <v>59.1539719860898</v>
      </c>
      <c r="C58" s="1"/>
      <c r="D58" s="1"/>
      <c r="E58" s="1"/>
      <c r="F58" s="1"/>
      <c r="G58" s="99"/>
      <c r="H58" s="7"/>
      <c r="I58" s="104"/>
      <c r="J58" s="1"/>
      <c r="K58" s="1"/>
      <c r="L58" s="99"/>
      <c r="M58" s="7"/>
      <c r="N58" s="104"/>
      <c r="O58" s="1"/>
      <c r="P58" s="1"/>
      <c r="Q58" s="99"/>
      <c r="R58" s="7"/>
      <c r="S58" s="104"/>
      <c r="T58" s="1"/>
      <c r="U58" s="1"/>
      <c r="V58" s="99"/>
    </row>
    <row r="59" spans="1:22" ht="12.75">
      <c r="A59" s="22" t="s">
        <v>16</v>
      </c>
      <c r="B59" s="98">
        <v>68.22242714955922</v>
      </c>
      <c r="C59" s="1"/>
      <c r="D59" s="1"/>
      <c r="E59" s="1"/>
      <c r="F59" s="1"/>
      <c r="G59" s="99"/>
      <c r="H59" s="7"/>
      <c r="I59" s="104"/>
      <c r="J59" s="1"/>
      <c r="K59" s="1"/>
      <c r="L59" s="99"/>
      <c r="M59" s="7"/>
      <c r="N59" s="104"/>
      <c r="O59" s="1"/>
      <c r="P59" s="1"/>
      <c r="Q59" s="99"/>
      <c r="R59" s="7"/>
      <c r="S59" s="104"/>
      <c r="T59" s="1"/>
      <c r="U59" s="1"/>
      <c r="V59" s="99"/>
    </row>
    <row r="60" spans="1:22" ht="12.75">
      <c r="A60" s="22" t="s">
        <v>17</v>
      </c>
      <c r="B60" s="98">
        <v>68.22242714955922</v>
      </c>
      <c r="C60" s="1"/>
      <c r="D60" s="1"/>
      <c r="E60" s="1"/>
      <c r="F60" s="1"/>
      <c r="G60" s="99"/>
      <c r="H60" s="7"/>
      <c r="I60" s="104"/>
      <c r="J60" s="1"/>
      <c r="K60" s="1"/>
      <c r="L60" s="99"/>
      <c r="M60" s="7"/>
      <c r="N60" s="104"/>
      <c r="O60" s="1"/>
      <c r="P60" s="1"/>
      <c r="Q60" s="99"/>
      <c r="R60" s="7"/>
      <c r="S60" s="104"/>
      <c r="T60" s="1"/>
      <c r="U60" s="1"/>
      <c r="V60" s="99"/>
    </row>
    <row r="61" spans="1:22" ht="12.75">
      <c r="A61" s="22" t="s">
        <v>18</v>
      </c>
      <c r="B61" s="98">
        <v>76.51216828236977</v>
      </c>
      <c r="C61" s="1"/>
      <c r="D61" s="1"/>
      <c r="E61" s="1"/>
      <c r="F61" s="1"/>
      <c r="G61" s="99"/>
      <c r="H61" s="7"/>
      <c r="I61" s="104"/>
      <c r="J61" s="1"/>
      <c r="K61" s="1"/>
      <c r="L61" s="99"/>
      <c r="M61" s="7"/>
      <c r="N61" s="104"/>
      <c r="O61" s="1"/>
      <c r="P61" s="1"/>
      <c r="Q61" s="99"/>
      <c r="R61" s="7"/>
      <c r="S61" s="104"/>
      <c r="T61" s="1"/>
      <c r="U61" s="1"/>
      <c r="V61" s="99"/>
    </row>
    <row r="62" spans="1:22" ht="12.75">
      <c r="A62" s="22" t="s">
        <v>19</v>
      </c>
      <c r="B62" s="98">
        <v>76.51216828236977</v>
      </c>
      <c r="C62" s="1"/>
      <c r="D62" s="1"/>
      <c r="E62" s="1"/>
      <c r="F62" s="1"/>
      <c r="G62" s="99"/>
      <c r="H62" s="7"/>
      <c r="I62" s="104"/>
      <c r="J62" s="1"/>
      <c r="K62" s="1"/>
      <c r="L62" s="99"/>
      <c r="M62" s="7"/>
      <c r="N62" s="104"/>
      <c r="O62" s="1"/>
      <c r="P62" s="1"/>
      <c r="Q62" s="99"/>
      <c r="R62" s="7"/>
      <c r="S62" s="104"/>
      <c r="T62" s="1"/>
      <c r="U62" s="1"/>
      <c r="V62" s="99"/>
    </row>
    <row r="63" spans="1:22" ht="12.75">
      <c r="A63" s="22" t="s">
        <v>20</v>
      </c>
      <c r="B63" s="98">
        <v>76.51216828236977</v>
      </c>
      <c r="C63" s="1"/>
      <c r="D63" s="1"/>
      <c r="E63" s="1"/>
      <c r="F63" s="1"/>
      <c r="G63" s="99"/>
      <c r="H63" s="7"/>
      <c r="I63" s="104"/>
      <c r="J63" s="1"/>
      <c r="K63" s="1"/>
      <c r="L63" s="99"/>
      <c r="M63" s="7"/>
      <c r="N63" s="104"/>
      <c r="O63" s="1"/>
      <c r="P63" s="1"/>
      <c r="Q63" s="99"/>
      <c r="R63" s="7"/>
      <c r="S63" s="104"/>
      <c r="T63" s="1"/>
      <c r="U63" s="1"/>
      <c r="V63" s="99"/>
    </row>
    <row r="64" spans="1:22" ht="12.75">
      <c r="A64" s="22" t="s">
        <v>21</v>
      </c>
      <c r="B64" s="98">
        <v>76.51216828236977</v>
      </c>
      <c r="C64" s="1"/>
      <c r="D64" s="1"/>
      <c r="E64" s="1"/>
      <c r="F64" s="1"/>
      <c r="G64" s="99"/>
      <c r="H64" s="7"/>
      <c r="I64" s="104"/>
      <c r="J64" s="1"/>
      <c r="K64" s="1"/>
      <c r="L64" s="99"/>
      <c r="M64" s="7"/>
      <c r="N64" s="104"/>
      <c r="O64" s="1"/>
      <c r="P64" s="1"/>
      <c r="Q64" s="99"/>
      <c r="R64" s="7"/>
      <c r="S64" s="104"/>
      <c r="T64" s="1"/>
      <c r="U64" s="1"/>
      <c r="V64" s="99"/>
    </row>
    <row r="65" spans="1:22" ht="12.75">
      <c r="A65" s="22" t="s">
        <v>22</v>
      </c>
      <c r="B65" s="98">
        <v>76.51216828236977</v>
      </c>
      <c r="C65" s="1"/>
      <c r="D65" s="1"/>
      <c r="E65" s="1"/>
      <c r="F65" s="1"/>
      <c r="G65" s="99"/>
      <c r="H65" s="7"/>
      <c r="I65" s="104"/>
      <c r="J65" s="1"/>
      <c r="K65" s="1"/>
      <c r="L65" s="99"/>
      <c r="M65" s="7"/>
      <c r="N65" s="104"/>
      <c r="O65" s="1"/>
      <c r="P65" s="1"/>
      <c r="Q65" s="99"/>
      <c r="R65" s="7"/>
      <c r="S65" s="104"/>
      <c r="T65" s="1"/>
      <c r="U65" s="1"/>
      <c r="V65" s="99"/>
    </row>
    <row r="66" spans="1:22" ht="12.75">
      <c r="A66" s="38" t="s">
        <v>23</v>
      </c>
      <c r="B66" s="100">
        <v>76.51216828236977</v>
      </c>
      <c r="C66" s="101"/>
      <c r="D66" s="101"/>
      <c r="E66" s="101"/>
      <c r="F66" s="101"/>
      <c r="G66" s="102"/>
      <c r="H66" s="7"/>
      <c r="I66" s="106"/>
      <c r="J66" s="101"/>
      <c r="K66" s="101"/>
      <c r="L66" s="102"/>
      <c r="M66" s="7"/>
      <c r="N66" s="106"/>
      <c r="O66" s="101"/>
      <c r="P66" s="101"/>
      <c r="Q66" s="102"/>
      <c r="R66" s="7"/>
      <c r="S66" s="106"/>
      <c r="T66" s="101"/>
      <c r="U66" s="101"/>
      <c r="V66" s="102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113</v>
      </c>
    </row>
    <row r="3" ht="12.75">
      <c r="A3" s="31" t="s">
        <v>31</v>
      </c>
    </row>
    <row r="4" spans="1:24" s="21" customFormat="1" ht="33.75" customHeight="1">
      <c r="A4" s="31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35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63.06369515155288</v>
      </c>
      <c r="D6" s="33"/>
      <c r="E6" s="24">
        <v>48.75669515155286</v>
      </c>
      <c r="F6" s="24">
        <v>65.04435411440218</v>
      </c>
      <c r="G6" s="24">
        <v>73.04142611440224</v>
      </c>
      <c r="H6" s="24">
        <v>81.46324327934835</v>
      </c>
      <c r="I6" s="33"/>
      <c r="J6" s="24">
        <v>52.7886951515529</v>
      </c>
      <c r="K6" s="24">
        <v>70.26675411440223</v>
      </c>
      <c r="L6" s="24">
        <v>78.4168941144022</v>
      </c>
      <c r="M6" s="24">
        <v>96.64581053616828</v>
      </c>
      <c r="N6" s="33"/>
      <c r="O6" s="24">
        <v>52.0746951515529</v>
      </c>
      <c r="P6" s="24">
        <v>69.34195411440223</v>
      </c>
      <c r="Q6" s="24">
        <v>77.47359811440217</v>
      </c>
      <c r="R6" s="24">
        <v>93.81361053616828</v>
      </c>
      <c r="S6" s="33"/>
      <c r="T6" s="24">
        <v>50.898695151552914</v>
      </c>
      <c r="U6" s="24">
        <v>67.8187541144022</v>
      </c>
      <c r="V6" s="24">
        <v>75.9199341144022</v>
      </c>
      <c r="W6" s="24">
        <v>89.14881053616827</v>
      </c>
      <c r="X6" s="35"/>
    </row>
    <row r="7" spans="1:24" ht="12.75">
      <c r="A7" s="22" t="s">
        <v>11</v>
      </c>
      <c r="B7" s="23">
        <v>229.30359875081356</v>
      </c>
      <c r="C7" s="24">
        <v>202.84945463101147</v>
      </c>
      <c r="D7" s="33"/>
      <c r="E7" s="24">
        <v>161.74945463101142</v>
      </c>
      <c r="F7" s="24">
        <v>177.66257001562684</v>
      </c>
      <c r="G7" s="24">
        <v>174.15913001562689</v>
      </c>
      <c r="H7" s="24">
        <v>161.89333340062683</v>
      </c>
      <c r="I7" s="33"/>
      <c r="J7" s="24">
        <v>171.9044546310114</v>
      </c>
      <c r="K7" s="24">
        <v>188.4145700156269</v>
      </c>
      <c r="L7" s="24">
        <v>185.22627001562688</v>
      </c>
      <c r="M7" s="24">
        <v>177.88693340062684</v>
      </c>
      <c r="N7" s="33"/>
      <c r="O7" s="24">
        <v>171.19045463101145</v>
      </c>
      <c r="P7" s="24">
        <v>186.5105700156269</v>
      </c>
      <c r="Q7" s="24">
        <v>183.28419001562685</v>
      </c>
      <c r="R7" s="24">
        <v>175.0547334006269</v>
      </c>
      <c r="S7" s="33"/>
      <c r="T7" s="24">
        <v>167.86945463101142</v>
      </c>
      <c r="U7" s="24">
        <v>183.37457001562683</v>
      </c>
      <c r="V7" s="24">
        <v>180.08547001562687</v>
      </c>
      <c r="W7" s="24">
        <v>170.3899334006269</v>
      </c>
      <c r="X7" s="35"/>
    </row>
    <row r="8" spans="1:24" ht="12.75">
      <c r="A8" s="22" t="s">
        <v>12</v>
      </c>
      <c r="B8" s="23">
        <v>200.05625406835097</v>
      </c>
      <c r="C8" s="24">
        <v>100.30624859037786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240.0920080698365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92.49924859037785</v>
      </c>
      <c r="F10" s="24">
        <v>113.19685438595215</v>
      </c>
      <c r="G10" s="24">
        <v>124.38763917221567</v>
      </c>
      <c r="H10" s="24">
        <v>126.27142679978684</v>
      </c>
      <c r="I10" s="33"/>
      <c r="J10" s="25">
        <v>96.53124859037788</v>
      </c>
      <c r="K10" s="24">
        <v>121.61296717221566</v>
      </c>
      <c r="L10" s="24">
        <v>129.76310717221563</v>
      </c>
      <c r="M10" s="24">
        <v>140.38836397499327</v>
      </c>
      <c r="N10" s="33"/>
      <c r="O10" s="24">
        <v>95.81724859037789</v>
      </c>
      <c r="P10" s="24">
        <v>120.68816717221566</v>
      </c>
      <c r="Q10" s="24">
        <v>128.8198111722157</v>
      </c>
      <c r="R10" s="24">
        <v>137.55616397499327</v>
      </c>
      <c r="S10" s="33"/>
      <c r="T10" s="24">
        <v>94.6412485903779</v>
      </c>
      <c r="U10" s="24">
        <v>118.90885438595214</v>
      </c>
      <c r="V10" s="24">
        <v>127.26614717221568</v>
      </c>
      <c r="W10" s="24">
        <v>133.03300679978682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78.19224859037786</v>
      </c>
      <c r="F11" s="24">
        <v>105.76016717221563</v>
      </c>
      <c r="G11" s="24">
        <v>131.6824839749932</v>
      </c>
      <c r="H11" s="24">
        <v>162.93216397499322</v>
      </c>
      <c r="I11" s="33"/>
      <c r="J11" s="24">
        <v>86.25624859037788</v>
      </c>
      <c r="K11" s="24">
        <v>120.25736397499321</v>
      </c>
      <c r="L11" s="24">
        <v>153.8167639749932</v>
      </c>
      <c r="M11" s="24">
        <v>194.91936397499325</v>
      </c>
      <c r="N11" s="33"/>
      <c r="O11" s="24">
        <v>84.82824859037788</v>
      </c>
      <c r="P11" s="24">
        <v>116.44936397499322</v>
      </c>
      <c r="Q11" s="24">
        <v>149.93260397499324</v>
      </c>
      <c r="R11" s="24">
        <v>189.25496397499325</v>
      </c>
      <c r="S11" s="33"/>
      <c r="T11" s="24">
        <v>82.47624859037785</v>
      </c>
      <c r="U11" s="25">
        <v>111.30896717221566</v>
      </c>
      <c r="V11" s="24">
        <v>143.53516397499322</v>
      </c>
      <c r="W11" s="24">
        <v>179.92536397499322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242.0350080698364</v>
      </c>
      <c r="F12" s="24">
        <v>262.7326138654108</v>
      </c>
      <c r="G12" s="24">
        <v>270.9375045599893</v>
      </c>
      <c r="H12" s="24">
        <v>280.87707613773546</v>
      </c>
      <c r="I12" s="33"/>
      <c r="J12" s="24">
        <v>246.06700806983645</v>
      </c>
      <c r="K12" s="24">
        <v>273.4846138654108</v>
      </c>
      <c r="L12" s="24">
        <v>279.71367655998927</v>
      </c>
      <c r="M12" s="24">
        <v>293.6047561377354</v>
      </c>
      <c r="N12" s="33"/>
      <c r="O12" s="24">
        <v>245.3530080698365</v>
      </c>
      <c r="P12" s="24">
        <v>271.5806138654108</v>
      </c>
      <c r="Q12" s="24">
        <v>278.1681725599892</v>
      </c>
      <c r="R12" s="24">
        <v>291.3508961377355</v>
      </c>
      <c r="S12" s="33"/>
      <c r="T12" s="24">
        <v>244.17700806983646</v>
      </c>
      <c r="U12" s="24">
        <v>268.4446138654108</v>
      </c>
      <c r="V12" s="24">
        <v>275.62263655998925</v>
      </c>
      <c r="W12" s="26">
        <v>287.63865613773544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177.8080080698365</v>
      </c>
      <c r="F13" s="24">
        <v>208.35312345445186</v>
      </c>
      <c r="G13" s="24">
        <v>221.31424345445186</v>
      </c>
      <c r="H13" s="24">
        <v>224.67328683945198</v>
      </c>
      <c r="I13" s="33"/>
      <c r="J13" s="24">
        <v>185.87200806983645</v>
      </c>
      <c r="K13" s="24">
        <v>229.85712345445188</v>
      </c>
      <c r="L13" s="24">
        <v>243.44852345445184</v>
      </c>
      <c r="M13" s="24">
        <v>256.660486839452</v>
      </c>
      <c r="N13" s="33"/>
      <c r="O13" s="24">
        <v>184.44400806983646</v>
      </c>
      <c r="P13" s="24">
        <v>226.0491234544519</v>
      </c>
      <c r="Q13" s="24">
        <v>239.5643634544519</v>
      </c>
      <c r="R13" s="24">
        <v>250.9960868394519</v>
      </c>
      <c r="S13" s="33"/>
      <c r="T13" s="24">
        <v>182.09200806983648</v>
      </c>
      <c r="U13" s="24">
        <v>219.77712345445184</v>
      </c>
      <c r="V13" s="24">
        <v>233.16692345445193</v>
      </c>
      <c r="W13" s="24">
        <v>241.66648683945186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219.6508341333145</v>
      </c>
      <c r="F14" s="24">
        <v>262.73627751876955</v>
      </c>
      <c r="G14" s="24">
        <v>270.941168213348</v>
      </c>
      <c r="H14" s="24">
        <v>280.8807397910942</v>
      </c>
      <c r="I14" s="33"/>
      <c r="J14" s="24">
        <v>231.1708341333145</v>
      </c>
      <c r="K14" s="25">
        <v>273.4882775187695</v>
      </c>
      <c r="L14" s="24">
        <v>279.717340213348</v>
      </c>
      <c r="M14" s="24">
        <v>293.60841979109415</v>
      </c>
      <c r="N14" s="33"/>
      <c r="O14" s="24">
        <v>229.1308341333144</v>
      </c>
      <c r="P14" s="24">
        <v>271.5842775187695</v>
      </c>
      <c r="Q14" s="24">
        <v>278.17183621334806</v>
      </c>
      <c r="R14" s="24">
        <v>291.35455979109423</v>
      </c>
      <c r="S14" s="33"/>
      <c r="T14" s="24">
        <v>225.7708341333144</v>
      </c>
      <c r="U14" s="24">
        <v>268.44827751876954</v>
      </c>
      <c r="V14" s="24">
        <v>275.6263002133481</v>
      </c>
      <c r="W14" s="24">
        <v>287.64231979109417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177.81167172319522</v>
      </c>
      <c r="F15" s="24">
        <v>208.3567871078106</v>
      </c>
      <c r="G15" s="24">
        <v>221.3179071078107</v>
      </c>
      <c r="H15" s="24">
        <v>224.67695049281065</v>
      </c>
      <c r="I15" s="33"/>
      <c r="J15" s="24">
        <v>185.87567172319518</v>
      </c>
      <c r="K15" s="24">
        <v>229.8607871078106</v>
      </c>
      <c r="L15" s="24">
        <v>243.4521871078107</v>
      </c>
      <c r="M15" s="24">
        <v>256.6641504928107</v>
      </c>
      <c r="N15" s="33"/>
      <c r="O15" s="24">
        <v>184.4476717231953</v>
      </c>
      <c r="P15" s="24">
        <v>226.05278710781062</v>
      </c>
      <c r="Q15" s="24">
        <v>239.56802710781074</v>
      </c>
      <c r="R15" s="24">
        <v>250.99975049281056</v>
      </c>
      <c r="S15" s="33"/>
      <c r="T15" s="24">
        <v>182.0956717231952</v>
      </c>
      <c r="U15" s="24">
        <v>219.78078710781057</v>
      </c>
      <c r="V15" s="24">
        <v>233.17058710781066</v>
      </c>
      <c r="W15" s="24">
        <v>241.67015049281054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219.6508341333145</v>
      </c>
      <c r="F16" s="24">
        <v>278.95083413331446</v>
      </c>
      <c r="G16" s="24">
        <v>337.8355702113494</v>
      </c>
      <c r="H16" s="24">
        <v>347.7751417890956</v>
      </c>
      <c r="I16" s="33"/>
      <c r="J16" s="24">
        <v>231.1708341333145</v>
      </c>
      <c r="K16" s="24">
        <v>309.6708341333145</v>
      </c>
      <c r="L16" s="24">
        <v>346.6117422113495</v>
      </c>
      <c r="M16" s="24">
        <v>360.50282178909555</v>
      </c>
      <c r="N16" s="33"/>
      <c r="O16" s="24">
        <v>229.1308341333144</v>
      </c>
      <c r="P16" s="24">
        <v>304.23083413331454</v>
      </c>
      <c r="Q16" s="24">
        <v>345.06623821134946</v>
      </c>
      <c r="R16" s="24">
        <v>358.2489617890955</v>
      </c>
      <c r="S16" s="33"/>
      <c r="T16" s="24">
        <v>225.7708341333145</v>
      </c>
      <c r="U16" s="24">
        <v>295.2708341333145</v>
      </c>
      <c r="V16" s="24">
        <v>342.5207022113495</v>
      </c>
      <c r="W16" s="24">
        <v>354.5367217890957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153.59083413331444</v>
      </c>
      <c r="F17" s="24">
        <v>253.35141931183557</v>
      </c>
      <c r="G17" s="24">
        <v>250.0699026968357</v>
      </c>
      <c r="H17" s="24">
        <v>144.03958269683585</v>
      </c>
      <c r="I17" s="33"/>
      <c r="J17" s="24">
        <v>176.63083413331452</v>
      </c>
      <c r="K17" s="24">
        <v>274.8554193118357</v>
      </c>
      <c r="L17" s="24">
        <v>272.2041826968357</v>
      </c>
      <c r="M17" s="24">
        <v>176.02678269683577</v>
      </c>
      <c r="N17" s="33"/>
      <c r="O17" s="24">
        <v>172.55083413331448</v>
      </c>
      <c r="P17" s="24">
        <v>271.0474193118357</v>
      </c>
      <c r="Q17" s="24">
        <v>268.32002269683574</v>
      </c>
      <c r="R17" s="24">
        <v>170.36238269683577</v>
      </c>
      <c r="S17" s="33"/>
      <c r="T17" s="24">
        <v>165.83083413331445</v>
      </c>
      <c r="U17" s="24">
        <v>264.77541931183555</v>
      </c>
      <c r="V17" s="24">
        <v>261.9225826968358</v>
      </c>
      <c r="W17" s="24">
        <v>161.03278269683574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219.6508341333145</v>
      </c>
      <c r="F18" s="24">
        <v>278.95083413331446</v>
      </c>
      <c r="G18" s="24">
        <v>401.47997220935093</v>
      </c>
      <c r="H18" s="24">
        <v>411.4195437870971</v>
      </c>
      <c r="I18" s="33"/>
      <c r="J18" s="24">
        <v>231.1708341333145</v>
      </c>
      <c r="K18" s="24">
        <v>309.6708341333145</v>
      </c>
      <c r="L18" s="24">
        <v>410.2561442093508</v>
      </c>
      <c r="M18" s="24">
        <v>424.14722378709706</v>
      </c>
      <c r="N18" s="33"/>
      <c r="O18" s="24">
        <v>229.13083413331452</v>
      </c>
      <c r="P18" s="24">
        <v>304.23083413331443</v>
      </c>
      <c r="Q18" s="24">
        <v>408.71064020935086</v>
      </c>
      <c r="R18" s="24">
        <v>421.89336378709703</v>
      </c>
      <c r="S18" s="33"/>
      <c r="T18" s="24">
        <v>225.7708341333145</v>
      </c>
      <c r="U18" s="24">
        <v>295.2708341333145</v>
      </c>
      <c r="V18" s="24">
        <v>406.1651042093509</v>
      </c>
      <c r="W18" s="24">
        <v>418.18112378709696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128.63083413331452</v>
      </c>
      <c r="F19" s="24">
        <v>295.0960515158606</v>
      </c>
      <c r="G19" s="24">
        <v>211.94253490086078</v>
      </c>
      <c r="H19" s="24">
        <v>60.15221490086071</v>
      </c>
      <c r="I19" s="33"/>
      <c r="J19" s="24">
        <v>151.67083413331437</v>
      </c>
      <c r="K19" s="24">
        <v>316.60005151586074</v>
      </c>
      <c r="L19" s="24">
        <v>234.07681490086065</v>
      </c>
      <c r="M19" s="24">
        <v>92.13941490086074</v>
      </c>
      <c r="N19" s="33"/>
      <c r="O19" s="24">
        <v>147.59083413331444</v>
      </c>
      <c r="P19" s="24">
        <v>312.79205151586075</v>
      </c>
      <c r="Q19" s="24">
        <v>230.1926549008607</v>
      </c>
      <c r="R19" s="24">
        <v>86.47501490086074</v>
      </c>
      <c r="S19" s="33"/>
      <c r="T19" s="24">
        <v>140.87083413331442</v>
      </c>
      <c r="U19" s="24">
        <v>306.5200515158606</v>
      </c>
      <c r="V19" s="24">
        <v>223.79521490086063</v>
      </c>
      <c r="W19" s="24">
        <v>77.14541490086083</v>
      </c>
      <c r="X19" s="35"/>
    </row>
    <row r="20" spans="1:24" ht="27" customHeight="1">
      <c r="A20" s="18" t="s">
        <v>24</v>
      </c>
      <c r="B20" s="13" t="s">
        <v>8</v>
      </c>
      <c r="C20" s="14" t="s">
        <v>35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63.06440755323739</v>
      </c>
      <c r="D21" s="33"/>
      <c r="E21" s="24">
        <v>48.75740755323736</v>
      </c>
      <c r="F21" s="24">
        <v>65.04506651608668</v>
      </c>
      <c r="G21" s="24">
        <v>73.04213851608668</v>
      </c>
      <c r="H21" s="24">
        <v>81.46395568103279</v>
      </c>
      <c r="I21" s="33"/>
      <c r="J21" s="24">
        <v>52.78940755323737</v>
      </c>
      <c r="K21" s="24">
        <v>70.26746651608667</v>
      </c>
      <c r="L21" s="24">
        <v>78.41760651608664</v>
      </c>
      <c r="M21" s="24">
        <v>108.33522756410275</v>
      </c>
      <c r="N21" s="33"/>
      <c r="O21" s="24">
        <v>52.07540755323737</v>
      </c>
      <c r="P21" s="24">
        <v>69.34266651608667</v>
      </c>
      <c r="Q21" s="24">
        <v>77.47431051608666</v>
      </c>
      <c r="R21" s="24">
        <v>100.24322756410271</v>
      </c>
      <c r="S21" s="33"/>
      <c r="T21" s="24">
        <v>50.89940755323735</v>
      </c>
      <c r="U21" s="24">
        <v>67.81946651608666</v>
      </c>
      <c r="V21" s="24">
        <v>75.92064651608666</v>
      </c>
      <c r="W21" s="26">
        <v>89.14952293785274</v>
      </c>
      <c r="X21" s="35"/>
    </row>
    <row r="22" spans="1:24" ht="12.75">
      <c r="A22" s="22" t="s">
        <v>11</v>
      </c>
      <c r="B22" s="23">
        <v>84.69874493410276</v>
      </c>
      <c r="C22" s="24">
        <v>202.8543084477223</v>
      </c>
      <c r="D22" s="33"/>
      <c r="E22" s="24">
        <v>161.75430844772228</v>
      </c>
      <c r="F22" s="24">
        <v>177.66742383233765</v>
      </c>
      <c r="G22" s="24">
        <v>174.1639838323377</v>
      </c>
      <c r="H22" s="24">
        <v>161.8981872173378</v>
      </c>
      <c r="I22" s="33"/>
      <c r="J22" s="24">
        <v>171.90930844772225</v>
      </c>
      <c r="K22" s="24">
        <v>188.41942383233766</v>
      </c>
      <c r="L22" s="24">
        <v>185.2311238323377</v>
      </c>
      <c r="M22" s="24">
        <v>177.8917872173377</v>
      </c>
      <c r="N22" s="33"/>
      <c r="O22" s="24">
        <v>171.1953084477223</v>
      </c>
      <c r="P22" s="24">
        <v>186.51542383233766</v>
      </c>
      <c r="Q22" s="24">
        <v>183.28904383233765</v>
      </c>
      <c r="R22" s="24">
        <v>175.05958721733776</v>
      </c>
      <c r="S22" s="33"/>
      <c r="T22" s="24">
        <v>167.87430844772229</v>
      </c>
      <c r="U22" s="24">
        <v>183.37942383233764</v>
      </c>
      <c r="V22" s="24">
        <v>180.09032383233767</v>
      </c>
      <c r="W22" s="24">
        <v>170.39478721733775</v>
      </c>
      <c r="X22" s="35"/>
    </row>
    <row r="23" spans="1:24" ht="12.75">
      <c r="A23" s="22" t="s">
        <v>12</v>
      </c>
      <c r="B23" s="23">
        <v>73.89554166666649</v>
      </c>
      <c r="C23" s="24">
        <v>100.3069609920624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240.0968618865473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92.49996099206237</v>
      </c>
      <c r="F25" s="24">
        <v>113.19756678763667</v>
      </c>
      <c r="G25" s="24">
        <v>124.38835157390017</v>
      </c>
      <c r="H25" s="24">
        <v>126.27213920147133</v>
      </c>
      <c r="I25" s="33"/>
      <c r="J25" s="24">
        <v>96.53196099206238</v>
      </c>
      <c r="K25" s="24">
        <v>121.61367957390016</v>
      </c>
      <c r="L25" s="24">
        <v>129.76381957390018</v>
      </c>
      <c r="M25" s="24">
        <v>140.38907637667776</v>
      </c>
      <c r="N25" s="33"/>
      <c r="O25" s="24">
        <v>95.81796099206238</v>
      </c>
      <c r="P25" s="24">
        <v>120.68887957390015</v>
      </c>
      <c r="Q25" s="24">
        <v>128.82052357390018</v>
      </c>
      <c r="R25" s="24">
        <v>137.55687637667776</v>
      </c>
      <c r="S25" s="33"/>
      <c r="T25" s="24">
        <v>94.64196099206237</v>
      </c>
      <c r="U25" s="24">
        <v>118.90956678763669</v>
      </c>
      <c r="V25" s="24">
        <v>127.26685957390018</v>
      </c>
      <c r="W25" s="24">
        <v>133.0337192014713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78.19296099206238</v>
      </c>
      <c r="F26" s="24">
        <v>105.76087957390016</v>
      </c>
      <c r="G26" s="24">
        <v>133.1584275641027</v>
      </c>
      <c r="H26" s="24">
        <v>222.44322756410273</v>
      </c>
      <c r="I26" s="33"/>
      <c r="J26" s="24">
        <v>86.2569609920624</v>
      </c>
      <c r="K26" s="24">
        <v>120.25807637667774</v>
      </c>
      <c r="L26" s="24">
        <v>196.3992275641027</v>
      </c>
      <c r="M26" s="24">
        <v>313.83522756410275</v>
      </c>
      <c r="N26" s="33"/>
      <c r="O26" s="24">
        <v>84.82896099206238</v>
      </c>
      <c r="P26" s="24">
        <v>116.45007637667774</v>
      </c>
      <c r="Q26" s="24">
        <v>185.30162756410274</v>
      </c>
      <c r="R26" s="24">
        <v>297.65122756410267</v>
      </c>
      <c r="S26" s="33"/>
      <c r="T26" s="24">
        <v>82.47696099206237</v>
      </c>
      <c r="U26" s="24">
        <v>111.30967957390018</v>
      </c>
      <c r="V26" s="24">
        <v>167.0232275641027</v>
      </c>
      <c r="W26" s="24">
        <v>270.9952275641027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242.03986188654727</v>
      </c>
      <c r="F27" s="24">
        <v>262.7374676821216</v>
      </c>
      <c r="G27" s="24">
        <v>270.9423583767001</v>
      </c>
      <c r="H27" s="24">
        <v>280.88192995444626</v>
      </c>
      <c r="I27" s="33"/>
      <c r="J27" s="24">
        <v>246.07186188654725</v>
      </c>
      <c r="K27" s="24">
        <v>273.4894676821216</v>
      </c>
      <c r="L27" s="24">
        <v>279.7185303767001</v>
      </c>
      <c r="M27" s="24">
        <v>293.6096099544462</v>
      </c>
      <c r="N27" s="33"/>
      <c r="O27" s="24">
        <v>245.3578618865473</v>
      </c>
      <c r="P27" s="24">
        <v>271.5854676821216</v>
      </c>
      <c r="Q27" s="24">
        <v>278.1730263767</v>
      </c>
      <c r="R27" s="24">
        <v>291.3557499544462</v>
      </c>
      <c r="S27" s="33"/>
      <c r="T27" s="24">
        <v>244.18186188654727</v>
      </c>
      <c r="U27" s="24">
        <v>268.44946768212156</v>
      </c>
      <c r="V27" s="24">
        <v>275.62749037670005</v>
      </c>
      <c r="W27" s="24">
        <v>287.64350995444624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177.81286188654724</v>
      </c>
      <c r="F28" s="24">
        <v>208.3579772711626</v>
      </c>
      <c r="G28" s="24">
        <v>221.31909727116266</v>
      </c>
      <c r="H28" s="24">
        <v>224.67814065616273</v>
      </c>
      <c r="I28" s="33"/>
      <c r="J28" s="24">
        <v>185.87686188654726</v>
      </c>
      <c r="K28" s="24">
        <v>229.86197727116252</v>
      </c>
      <c r="L28" s="24">
        <v>243.45337727116265</v>
      </c>
      <c r="M28" s="24">
        <v>256.66534065616264</v>
      </c>
      <c r="N28" s="33"/>
      <c r="O28" s="24">
        <v>184.44886188654726</v>
      </c>
      <c r="P28" s="24">
        <v>226.05397727116252</v>
      </c>
      <c r="Q28" s="24">
        <v>239.5692172711627</v>
      </c>
      <c r="R28" s="24">
        <v>251.00094065616275</v>
      </c>
      <c r="S28" s="33"/>
      <c r="T28" s="24">
        <v>182.0968618865473</v>
      </c>
      <c r="U28" s="24">
        <v>219.7819772711626</v>
      </c>
      <c r="V28" s="24">
        <v>233.17177727116263</v>
      </c>
      <c r="W28" s="24">
        <v>241.67134065616273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242.0421335358674</v>
      </c>
      <c r="F29" s="24">
        <v>262.7397393314417</v>
      </c>
      <c r="G29" s="24">
        <v>270.94463002602015</v>
      </c>
      <c r="H29" s="24">
        <v>280.8842016037663</v>
      </c>
      <c r="I29" s="33"/>
      <c r="J29" s="24">
        <v>246.0741335358674</v>
      </c>
      <c r="K29" s="24">
        <v>273.49173933144175</v>
      </c>
      <c r="L29" s="24">
        <v>279.7208020260201</v>
      </c>
      <c r="M29" s="24">
        <v>293.6118816037663</v>
      </c>
      <c r="N29" s="33"/>
      <c r="O29" s="24">
        <v>245.36013353586745</v>
      </c>
      <c r="P29" s="24">
        <v>271.58773933144175</v>
      </c>
      <c r="Q29" s="24">
        <v>278.1752980260202</v>
      </c>
      <c r="R29" s="24">
        <v>291.35802160376636</v>
      </c>
      <c r="S29" s="33"/>
      <c r="T29" s="24">
        <v>244.1841335358674</v>
      </c>
      <c r="U29" s="24">
        <v>268.4517393314417</v>
      </c>
      <c r="V29" s="24">
        <v>275.6297620260202</v>
      </c>
      <c r="W29" s="24">
        <v>287.6457816037664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177.81513353586737</v>
      </c>
      <c r="F30" s="24">
        <v>208.36024892048272</v>
      </c>
      <c r="G30" s="24">
        <v>221.3213689204827</v>
      </c>
      <c r="H30" s="24">
        <v>224.68041230548278</v>
      </c>
      <c r="I30" s="33"/>
      <c r="J30" s="24">
        <v>185.8791335358674</v>
      </c>
      <c r="K30" s="24">
        <v>229.86424892048274</v>
      </c>
      <c r="L30" s="24">
        <v>243.45564892048282</v>
      </c>
      <c r="M30" s="24">
        <v>256.6676123054827</v>
      </c>
      <c r="N30" s="33"/>
      <c r="O30" s="24">
        <v>184.45113353586746</v>
      </c>
      <c r="P30" s="24">
        <v>226.05624892048274</v>
      </c>
      <c r="Q30" s="24">
        <v>239.57148892048286</v>
      </c>
      <c r="R30" s="24">
        <v>251.0032123054828</v>
      </c>
      <c r="S30" s="33"/>
      <c r="T30" s="24">
        <v>182.09913353586737</v>
      </c>
      <c r="U30" s="24">
        <v>219.7842489204827</v>
      </c>
      <c r="V30" s="24">
        <v>233.1740489204828</v>
      </c>
      <c r="W30" s="24">
        <v>241.67361230548278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307.0047657398924</v>
      </c>
      <c r="F31" s="24">
        <v>327.7023715354667</v>
      </c>
      <c r="G31" s="24">
        <v>337.83903202402166</v>
      </c>
      <c r="H31" s="24">
        <v>347.7786036017678</v>
      </c>
      <c r="I31" s="33"/>
      <c r="J31" s="24">
        <v>311.0367657398924</v>
      </c>
      <c r="K31" s="24">
        <v>338.45437153546675</v>
      </c>
      <c r="L31" s="24">
        <v>346.61520402402164</v>
      </c>
      <c r="M31" s="24">
        <v>360.5062836017678</v>
      </c>
      <c r="N31" s="33"/>
      <c r="O31" s="24">
        <v>310.3227657398925</v>
      </c>
      <c r="P31" s="24">
        <v>336.55037153546675</v>
      </c>
      <c r="Q31" s="24">
        <v>345.0697000240216</v>
      </c>
      <c r="R31" s="24">
        <v>358.25242360176776</v>
      </c>
      <c r="S31" s="33"/>
      <c r="T31" s="24">
        <v>309.14676573989243</v>
      </c>
      <c r="U31" s="24">
        <v>333.41437153546667</v>
      </c>
      <c r="V31" s="24">
        <v>342.5241640240216</v>
      </c>
      <c r="W31" s="24">
        <v>354.5401836017678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217.81776573989237</v>
      </c>
      <c r="F32" s="24">
        <v>253.3548811245078</v>
      </c>
      <c r="G32" s="24">
        <v>250.07336450950794</v>
      </c>
      <c r="H32" s="24">
        <v>144.0430445095078</v>
      </c>
      <c r="I32" s="33"/>
      <c r="J32" s="24">
        <v>225.8817657398924</v>
      </c>
      <c r="K32" s="24">
        <v>274.8588811245077</v>
      </c>
      <c r="L32" s="24">
        <v>272.2076445095078</v>
      </c>
      <c r="M32" s="24">
        <v>176.03024450950784</v>
      </c>
      <c r="N32" s="33"/>
      <c r="O32" s="24">
        <v>224.45376573989245</v>
      </c>
      <c r="P32" s="24">
        <v>271.0508811245077</v>
      </c>
      <c r="Q32" s="24">
        <v>268.32348450950786</v>
      </c>
      <c r="R32" s="24">
        <v>170.36584450950784</v>
      </c>
      <c r="S32" s="33"/>
      <c r="T32" s="24">
        <v>222.10176573989236</v>
      </c>
      <c r="U32" s="24">
        <v>264.7788811245078</v>
      </c>
      <c r="V32" s="24">
        <v>261.9260445095079</v>
      </c>
      <c r="W32" s="24">
        <v>161.03624450950792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368.7173979439174</v>
      </c>
      <c r="F33" s="24">
        <v>389.4150037394917</v>
      </c>
      <c r="G33" s="24">
        <v>401.48343402202295</v>
      </c>
      <c r="H33" s="24">
        <v>411.4230055997691</v>
      </c>
      <c r="I33" s="33"/>
      <c r="J33" s="24">
        <v>372.7493979439174</v>
      </c>
      <c r="K33" s="24">
        <v>400.16700373949175</v>
      </c>
      <c r="L33" s="24">
        <v>410.25960602202304</v>
      </c>
      <c r="M33" s="24">
        <v>424.1506855997691</v>
      </c>
      <c r="N33" s="33"/>
      <c r="O33" s="24">
        <v>372.0353979439175</v>
      </c>
      <c r="P33" s="24">
        <v>398.26300373949175</v>
      </c>
      <c r="Q33" s="24">
        <v>408.714102022023</v>
      </c>
      <c r="R33" s="24">
        <v>421.89682559976916</v>
      </c>
      <c r="S33" s="33"/>
      <c r="T33" s="24">
        <v>370.85939794391743</v>
      </c>
      <c r="U33" s="24">
        <v>395.12700373949167</v>
      </c>
      <c r="V33" s="24">
        <v>406.168566022023</v>
      </c>
      <c r="W33" s="24">
        <v>418.1845855997692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254.57039794391738</v>
      </c>
      <c r="F34" s="24">
        <v>295.09951332853274</v>
      </c>
      <c r="G34" s="24">
        <v>211.94599671353285</v>
      </c>
      <c r="H34" s="24">
        <v>60.15567671353301</v>
      </c>
      <c r="I34" s="33"/>
      <c r="J34" s="24">
        <v>262.63439794391746</v>
      </c>
      <c r="K34" s="24">
        <v>316.60351332853276</v>
      </c>
      <c r="L34" s="24">
        <v>234.08027671353284</v>
      </c>
      <c r="M34" s="24">
        <v>92.14287671353281</v>
      </c>
      <c r="N34" s="33"/>
      <c r="O34" s="24">
        <v>261.20639794391747</v>
      </c>
      <c r="P34" s="24">
        <v>312.79551332853276</v>
      </c>
      <c r="Q34" s="24">
        <v>230.1961167135329</v>
      </c>
      <c r="R34" s="24">
        <v>86.47847671353293</v>
      </c>
      <c r="S34" s="33"/>
      <c r="T34" s="24">
        <v>258.8543979439175</v>
      </c>
      <c r="U34" s="24">
        <v>306.52351332853283</v>
      </c>
      <c r="V34" s="24">
        <v>223.7986767135328</v>
      </c>
      <c r="W34" s="24">
        <v>77.1488767135329</v>
      </c>
      <c r="X34" s="35"/>
    </row>
    <row r="35" spans="1:24" ht="24">
      <c r="A35" s="18" t="s">
        <v>25</v>
      </c>
      <c r="B35" s="13" t="s">
        <v>8</v>
      </c>
      <c r="C35" s="14" t="s">
        <v>35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63.07100597692903</v>
      </c>
      <c r="D36" s="33"/>
      <c r="E36" s="24">
        <v>58.76400597692901</v>
      </c>
      <c r="F36" s="24">
        <v>75.05241794293957</v>
      </c>
      <c r="G36" s="24">
        <v>83.04948994293954</v>
      </c>
      <c r="H36" s="24">
        <v>91.4713071078857</v>
      </c>
      <c r="I36" s="33"/>
      <c r="J36" s="24">
        <v>62.796005976929024</v>
      </c>
      <c r="K36" s="24">
        <v>80.27481794293953</v>
      </c>
      <c r="L36" s="24">
        <v>88.42495794293956</v>
      </c>
      <c r="M36" s="24">
        <v>106.9279675153906</v>
      </c>
      <c r="N36" s="33"/>
      <c r="O36" s="24">
        <v>62.082005976929054</v>
      </c>
      <c r="P36" s="24">
        <v>79.35001794293953</v>
      </c>
      <c r="Q36" s="24">
        <v>87.48166194293955</v>
      </c>
      <c r="R36" s="24">
        <v>104.09576751539055</v>
      </c>
      <c r="S36" s="33"/>
      <c r="T36" s="24">
        <v>60.906005976929066</v>
      </c>
      <c r="U36" s="24">
        <v>77.82681794293956</v>
      </c>
      <c r="V36" s="24">
        <v>85.92799794293956</v>
      </c>
      <c r="W36" s="24">
        <v>99.43096751539053</v>
      </c>
      <c r="X36" s="35"/>
    </row>
    <row r="37" spans="1:24" ht="12.75">
      <c r="A37" s="27" t="s">
        <v>11</v>
      </c>
      <c r="B37" s="23">
        <v>146.7261021760684</v>
      </c>
      <c r="C37" s="25">
        <v>202.87056659037202</v>
      </c>
      <c r="D37" s="33"/>
      <c r="E37" s="24">
        <v>181.850566590372</v>
      </c>
      <c r="F37" s="24">
        <v>198.06609000315905</v>
      </c>
      <c r="G37" s="24">
        <v>196.55108812883356</v>
      </c>
      <c r="H37" s="24">
        <v>190.2639281288337</v>
      </c>
      <c r="I37" s="33"/>
      <c r="J37" s="24">
        <v>192.00556659037198</v>
      </c>
      <c r="K37" s="24">
        <v>206.7745281288336</v>
      </c>
      <c r="L37" s="24">
        <v>207.61822812883355</v>
      </c>
      <c r="M37" s="24">
        <v>206.2575281288336</v>
      </c>
      <c r="N37" s="33"/>
      <c r="O37" s="24">
        <v>191.29156659037204</v>
      </c>
      <c r="P37" s="24">
        <v>204.8705281288336</v>
      </c>
      <c r="Q37" s="24">
        <v>205.67614812883352</v>
      </c>
      <c r="R37" s="24">
        <v>203.42532812883366</v>
      </c>
      <c r="S37" s="33"/>
      <c r="T37" s="24">
        <v>187.97056659037202</v>
      </c>
      <c r="U37" s="24">
        <v>201.73452812883357</v>
      </c>
      <c r="V37" s="24">
        <v>202.47742812883354</v>
      </c>
      <c r="W37" s="24">
        <v>198.76052812883364</v>
      </c>
      <c r="X37" s="35"/>
    </row>
    <row r="38" spans="1:24" ht="12.75">
      <c r="A38" s="27" t="s">
        <v>12</v>
      </c>
      <c r="B38" s="23">
        <v>127.2225586275902</v>
      </c>
      <c r="C38" s="24">
        <v>100.31355941575404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240.11312002919706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102.50655941575405</v>
      </c>
      <c r="F40" s="24">
        <v>123.20491821448957</v>
      </c>
      <c r="G40" s="24">
        <v>134.3957030007531</v>
      </c>
      <c r="H40" s="24">
        <v>136.2794906283242</v>
      </c>
      <c r="I40" s="33"/>
      <c r="J40" s="24">
        <v>106.53855941575404</v>
      </c>
      <c r="K40" s="24">
        <v>131.62103100075308</v>
      </c>
      <c r="L40" s="24">
        <v>139.77117100075304</v>
      </c>
      <c r="M40" s="24">
        <v>150.6705209542156</v>
      </c>
      <c r="N40" s="33"/>
      <c r="O40" s="24">
        <v>105.82455941575404</v>
      </c>
      <c r="P40" s="24">
        <v>130.69623100075307</v>
      </c>
      <c r="Q40" s="24">
        <v>138.82787500075307</v>
      </c>
      <c r="R40" s="24">
        <v>147.8383209542156</v>
      </c>
      <c r="S40" s="33"/>
      <c r="T40" s="24">
        <v>104.64855941575405</v>
      </c>
      <c r="U40" s="24">
        <v>128.91691821448956</v>
      </c>
      <c r="V40" s="24">
        <v>137.2742110007531</v>
      </c>
      <c r="W40" s="24">
        <v>143.17352095421558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98.19955941575404</v>
      </c>
      <c r="F41" s="24">
        <v>125.76823100075308</v>
      </c>
      <c r="G41" s="24">
        <v>151.9646409542156</v>
      </c>
      <c r="H41" s="24">
        <v>189.40467214164056</v>
      </c>
      <c r="I41" s="33"/>
      <c r="J41" s="24">
        <v>106.26355941575406</v>
      </c>
      <c r="K41" s="24">
        <v>140.53952095421562</v>
      </c>
      <c r="L41" s="24">
        <v>174.0989209542156</v>
      </c>
      <c r="M41" s="24">
        <v>280.7966721416406</v>
      </c>
      <c r="N41" s="33"/>
      <c r="O41" s="24">
        <v>104.83555941575406</v>
      </c>
      <c r="P41" s="24">
        <v>136.73152095421563</v>
      </c>
      <c r="Q41" s="24">
        <v>170.2147609542156</v>
      </c>
      <c r="R41" s="24">
        <v>264.61267214164053</v>
      </c>
      <c r="S41" s="33"/>
      <c r="T41" s="24">
        <v>102.48355941575403</v>
      </c>
      <c r="U41" s="24">
        <v>131.3170310007531</v>
      </c>
      <c r="V41" s="24">
        <v>163.81732095421557</v>
      </c>
      <c r="W41" s="24">
        <v>237.95667214164058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252.05612002919705</v>
      </c>
      <c r="F42" s="24">
        <v>272.75447882793253</v>
      </c>
      <c r="G42" s="24">
        <v>280.9593695225111</v>
      </c>
      <c r="H42" s="24">
        <v>290.8989411002573</v>
      </c>
      <c r="I42" s="33"/>
      <c r="J42" s="24">
        <v>256.08812002919706</v>
      </c>
      <c r="K42" s="24">
        <v>283.5064788279326</v>
      </c>
      <c r="L42" s="24">
        <v>289.7355415225111</v>
      </c>
      <c r="M42" s="24">
        <v>303.62662110025724</v>
      </c>
      <c r="N42" s="33"/>
      <c r="O42" s="24">
        <v>255.3741200291971</v>
      </c>
      <c r="P42" s="24">
        <v>281.6024788279326</v>
      </c>
      <c r="Q42" s="24">
        <v>288.19003752251103</v>
      </c>
      <c r="R42" s="24">
        <v>301.3727611002572</v>
      </c>
      <c r="S42" s="33"/>
      <c r="T42" s="24">
        <v>254.19812002919704</v>
      </c>
      <c r="U42" s="24">
        <v>278.4664788279325</v>
      </c>
      <c r="V42" s="24">
        <v>285.64450152251106</v>
      </c>
      <c r="W42" s="24">
        <v>297.66052110025726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207.90912002919703</v>
      </c>
      <c r="F43" s="24">
        <v>236.71308156765866</v>
      </c>
      <c r="G43" s="24">
        <v>253.70620156765852</v>
      </c>
      <c r="H43" s="24">
        <v>263.0438815676586</v>
      </c>
      <c r="I43" s="33"/>
      <c r="J43" s="24">
        <v>215.97312002919705</v>
      </c>
      <c r="K43" s="24">
        <v>258.21708156765857</v>
      </c>
      <c r="L43" s="24">
        <v>275.8404815676586</v>
      </c>
      <c r="M43" s="24">
        <v>295.03108156765853</v>
      </c>
      <c r="N43" s="33"/>
      <c r="O43" s="24">
        <v>214.5451200291971</v>
      </c>
      <c r="P43" s="24">
        <v>254.40908156765857</v>
      </c>
      <c r="Q43" s="24">
        <v>271.95632156765856</v>
      </c>
      <c r="R43" s="24">
        <v>289.36668156765865</v>
      </c>
      <c r="S43" s="33"/>
      <c r="T43" s="24">
        <v>212.19312002919702</v>
      </c>
      <c r="U43" s="24">
        <v>248.13708156765864</v>
      </c>
      <c r="V43" s="24">
        <v>265.5588815676586</v>
      </c>
      <c r="W43" s="24">
        <v>280.0370815676586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252.04735820869683</v>
      </c>
      <c r="F44" s="24">
        <v>272.74571700743235</v>
      </c>
      <c r="G44" s="24">
        <v>280.95060770201087</v>
      </c>
      <c r="H44" s="24">
        <v>290.89017927975704</v>
      </c>
      <c r="I44" s="33"/>
      <c r="J44" s="24">
        <v>256.0793582086968</v>
      </c>
      <c r="K44" s="24">
        <v>283.49771700743236</v>
      </c>
      <c r="L44" s="24">
        <v>289.72677970201084</v>
      </c>
      <c r="M44" s="24">
        <v>303.617859279757</v>
      </c>
      <c r="N44" s="33"/>
      <c r="O44" s="24">
        <v>255.36535820869688</v>
      </c>
      <c r="P44" s="24">
        <v>281.59371700743236</v>
      </c>
      <c r="Q44" s="24">
        <v>288.18127570201085</v>
      </c>
      <c r="R44" s="24">
        <v>301.3639992797571</v>
      </c>
      <c r="S44" s="33"/>
      <c r="T44" s="24">
        <v>254.18935820869683</v>
      </c>
      <c r="U44" s="24">
        <v>278.4577170074324</v>
      </c>
      <c r="V44" s="24">
        <v>285.6357397020108</v>
      </c>
      <c r="W44" s="24">
        <v>297.651759279757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207.90035820869684</v>
      </c>
      <c r="F45" s="24">
        <v>236.70431974715837</v>
      </c>
      <c r="G45" s="24">
        <v>253.69743974715834</v>
      </c>
      <c r="H45" s="24">
        <v>263.03511974715843</v>
      </c>
      <c r="I45" s="33"/>
      <c r="J45" s="24">
        <v>215.9643582086968</v>
      </c>
      <c r="K45" s="24">
        <v>258.2083197471584</v>
      </c>
      <c r="L45" s="24">
        <v>275.83171974715833</v>
      </c>
      <c r="M45" s="24">
        <v>295.02231974715846</v>
      </c>
      <c r="N45" s="33"/>
      <c r="O45" s="24">
        <v>214.53635820869687</v>
      </c>
      <c r="P45" s="24">
        <v>254.4003197471584</v>
      </c>
      <c r="Q45" s="24">
        <v>271.9475597471584</v>
      </c>
      <c r="R45" s="24">
        <v>289.35791974715835</v>
      </c>
      <c r="S45" s="33"/>
      <c r="T45" s="24">
        <v>212.18435820869684</v>
      </c>
      <c r="U45" s="24">
        <v>248.12831974715834</v>
      </c>
      <c r="V45" s="24">
        <v>265.5501197471583</v>
      </c>
      <c r="W45" s="24">
        <v>280.0283197471583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317.0099904127219</v>
      </c>
      <c r="F46" s="24">
        <v>337.7083492114574</v>
      </c>
      <c r="G46" s="24">
        <v>347.84500970001227</v>
      </c>
      <c r="H46" s="24">
        <v>357.78458127775843</v>
      </c>
      <c r="I46" s="33"/>
      <c r="J46" s="24">
        <v>321.0419904127218</v>
      </c>
      <c r="K46" s="24">
        <v>348.46034921145736</v>
      </c>
      <c r="L46" s="24">
        <v>356.62118170001224</v>
      </c>
      <c r="M46" s="24">
        <v>370.5122612777585</v>
      </c>
      <c r="N46" s="33"/>
      <c r="O46" s="24">
        <v>320.3279904127219</v>
      </c>
      <c r="P46" s="24">
        <v>346.55634921145736</v>
      </c>
      <c r="Q46" s="24">
        <v>355.0756777000123</v>
      </c>
      <c r="R46" s="24">
        <v>368.2584012777585</v>
      </c>
      <c r="S46" s="33"/>
      <c r="T46" s="24">
        <v>319.15199041272183</v>
      </c>
      <c r="U46" s="24">
        <v>343.4203492114574</v>
      </c>
      <c r="V46" s="24">
        <v>352.5301417000122</v>
      </c>
      <c r="W46" s="24">
        <v>364.5461612777584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252.94299041272183</v>
      </c>
      <c r="F47" s="24">
        <v>285.73095195118333</v>
      </c>
      <c r="G47" s="24">
        <v>294.75607195118334</v>
      </c>
      <c r="H47" s="24">
        <v>252.52311533618354</v>
      </c>
      <c r="I47" s="33"/>
      <c r="J47" s="24">
        <v>261.0069904127218</v>
      </c>
      <c r="K47" s="24">
        <v>307.23495195118335</v>
      </c>
      <c r="L47" s="24">
        <v>316.89035195118333</v>
      </c>
      <c r="M47" s="24">
        <v>284.51031533618345</v>
      </c>
      <c r="N47" s="33"/>
      <c r="O47" s="24">
        <v>259.5789904127219</v>
      </c>
      <c r="P47" s="24">
        <v>303.42695195118336</v>
      </c>
      <c r="Q47" s="24">
        <v>313.0061919511834</v>
      </c>
      <c r="R47" s="24">
        <v>278.84591533618345</v>
      </c>
      <c r="S47" s="33"/>
      <c r="T47" s="24">
        <v>257.2269904127218</v>
      </c>
      <c r="U47" s="24">
        <v>297.1549519511834</v>
      </c>
      <c r="V47" s="24">
        <v>306.6087519511833</v>
      </c>
      <c r="W47" s="24">
        <v>269.5163153361834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331.2843667726622</v>
      </c>
      <c r="F48" s="24">
        <v>390.5843667726623</v>
      </c>
      <c r="G48" s="24">
        <v>411.48941169801367</v>
      </c>
      <c r="H48" s="24">
        <v>421.42898327575983</v>
      </c>
      <c r="I48" s="33"/>
      <c r="J48" s="24">
        <v>342.8043667726621</v>
      </c>
      <c r="K48" s="24">
        <v>410.17298141548247</v>
      </c>
      <c r="L48" s="24">
        <v>420.26558369801364</v>
      </c>
      <c r="M48" s="24">
        <v>434.1566632757599</v>
      </c>
      <c r="N48" s="33"/>
      <c r="O48" s="24">
        <v>340.76436677266213</v>
      </c>
      <c r="P48" s="24">
        <v>408.2689814154825</v>
      </c>
      <c r="Q48" s="24">
        <v>418.7200796980137</v>
      </c>
      <c r="R48" s="24">
        <v>431.90280327575977</v>
      </c>
      <c r="S48" s="33"/>
      <c r="T48" s="24">
        <v>337.4043667726621</v>
      </c>
      <c r="U48" s="24">
        <v>405.1329814154824</v>
      </c>
      <c r="V48" s="24">
        <v>416.17454369801374</v>
      </c>
      <c r="W48" s="24">
        <v>428.1905632757599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270.42436677266215</v>
      </c>
      <c r="F49" s="24">
        <v>331.5075841552083</v>
      </c>
      <c r="G49" s="24">
        <v>312.8660675402085</v>
      </c>
      <c r="H49" s="24">
        <v>198.03574754020838</v>
      </c>
      <c r="I49" s="33"/>
      <c r="J49" s="24">
        <v>293.4643667726621</v>
      </c>
      <c r="K49" s="24">
        <v>353.0115841552084</v>
      </c>
      <c r="L49" s="24">
        <v>335.0003475402084</v>
      </c>
      <c r="M49" s="24">
        <v>230.0229475402084</v>
      </c>
      <c r="N49" s="33"/>
      <c r="O49" s="24">
        <v>289.3843667726621</v>
      </c>
      <c r="P49" s="24">
        <v>349.20358415520843</v>
      </c>
      <c r="Q49" s="24">
        <v>331.11618754020844</v>
      </c>
      <c r="R49" s="24">
        <v>224.3585475402084</v>
      </c>
      <c r="S49" s="33"/>
      <c r="T49" s="24">
        <v>282.6643667726623</v>
      </c>
      <c r="U49" s="24">
        <v>342.93158415520827</v>
      </c>
      <c r="V49" s="24">
        <v>324.7187475402085</v>
      </c>
      <c r="W49" s="24">
        <v>215.0289475402085</v>
      </c>
      <c r="X49" s="35"/>
    </row>
    <row r="50" spans="1:24" ht="24">
      <c r="A50" s="18" t="s">
        <v>26</v>
      </c>
      <c r="B50" s="13" t="s">
        <v>8</v>
      </c>
      <c r="C50" s="14" t="s">
        <v>35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63.06959261842945</v>
      </c>
      <c r="D51" s="33"/>
      <c r="E51" s="24">
        <v>58.76259261842945</v>
      </c>
      <c r="F51" s="24">
        <v>75.05100458443995</v>
      </c>
      <c r="G51" s="24">
        <v>83.04807658443995</v>
      </c>
      <c r="H51" s="24">
        <v>91.46989374938612</v>
      </c>
      <c r="I51" s="33"/>
      <c r="J51" s="24">
        <v>62.79459261842946</v>
      </c>
      <c r="K51" s="24">
        <v>80.27340458443994</v>
      </c>
      <c r="L51" s="24">
        <v>88.42354458443997</v>
      </c>
      <c r="M51" s="24">
        <v>133.36525878314097</v>
      </c>
      <c r="N51" s="33"/>
      <c r="O51" s="24">
        <v>62.08059261842946</v>
      </c>
      <c r="P51" s="24">
        <v>79.34860458443994</v>
      </c>
      <c r="Q51" s="24">
        <v>87.48024858443996</v>
      </c>
      <c r="R51" s="24">
        <v>125.27325878314095</v>
      </c>
      <c r="S51" s="33"/>
      <c r="T51" s="24">
        <v>60.90459261842945</v>
      </c>
      <c r="U51" s="24">
        <v>77.82540458443997</v>
      </c>
      <c r="V51" s="24">
        <v>85.92658458443996</v>
      </c>
      <c r="W51" s="24">
        <v>111.94525878314097</v>
      </c>
      <c r="X51" s="35"/>
    </row>
    <row r="52" spans="1:24" ht="12.75">
      <c r="A52" s="22" t="s">
        <v>11</v>
      </c>
      <c r="B52" s="23">
        <v>68.22242714955922</v>
      </c>
      <c r="C52" s="24">
        <v>202.8642416168812</v>
      </c>
      <c r="D52" s="33"/>
      <c r="E52" s="24">
        <v>181.8442416168812</v>
      </c>
      <c r="F52" s="24">
        <v>198.5452650296682</v>
      </c>
      <c r="G52" s="24">
        <v>197.0302631553427</v>
      </c>
      <c r="H52" s="24">
        <v>190.74310315534285</v>
      </c>
      <c r="I52" s="33"/>
      <c r="J52" s="24">
        <v>192.48474161688117</v>
      </c>
      <c r="K52" s="24">
        <v>207.25370315534275</v>
      </c>
      <c r="L52" s="24">
        <v>208.0974031553427</v>
      </c>
      <c r="M52" s="24">
        <v>206.73670315534287</v>
      </c>
      <c r="N52" s="33"/>
      <c r="O52" s="24">
        <v>191.3242416168812</v>
      </c>
      <c r="P52" s="24">
        <v>205.34970315534275</v>
      </c>
      <c r="Q52" s="24">
        <v>206.15532315534267</v>
      </c>
      <c r="R52" s="24">
        <v>203.9045031553428</v>
      </c>
      <c r="S52" s="33"/>
      <c r="T52" s="24">
        <v>187.9642416168812</v>
      </c>
      <c r="U52" s="24">
        <v>202.21370315534273</v>
      </c>
      <c r="V52" s="24">
        <v>202.9566031553427</v>
      </c>
      <c r="W52" s="24">
        <v>199.2397031553428</v>
      </c>
      <c r="X52" s="35"/>
    </row>
    <row r="53" spans="1:24" ht="12.75">
      <c r="A53" s="22" t="s">
        <v>12</v>
      </c>
      <c r="B53" s="23">
        <v>59.1539719860898</v>
      </c>
      <c r="C53" s="24">
        <v>100.31214605725447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240.10679505570624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102.50514605725446</v>
      </c>
      <c r="F55" s="24">
        <v>123.20350485598998</v>
      </c>
      <c r="G55" s="24">
        <v>134.3942896422535</v>
      </c>
      <c r="H55" s="24">
        <v>136.27807726982462</v>
      </c>
      <c r="I55" s="33"/>
      <c r="J55" s="24">
        <v>106.53714605725445</v>
      </c>
      <c r="K55" s="24">
        <v>131.6196176422535</v>
      </c>
      <c r="L55" s="24">
        <v>139.76975764225347</v>
      </c>
      <c r="M55" s="24">
        <v>150.669107595716</v>
      </c>
      <c r="N55" s="33"/>
      <c r="O55" s="24">
        <v>105.82314605725448</v>
      </c>
      <c r="P55" s="24">
        <v>130.6948176422535</v>
      </c>
      <c r="Q55" s="24">
        <v>138.8264616422535</v>
      </c>
      <c r="R55" s="24">
        <v>147.836907595716</v>
      </c>
      <c r="S55" s="33"/>
      <c r="T55" s="24">
        <v>104.64714605725446</v>
      </c>
      <c r="U55" s="24">
        <v>128.91550485598998</v>
      </c>
      <c r="V55" s="24">
        <v>137.27279764225347</v>
      </c>
      <c r="W55" s="24">
        <v>143.172107595716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98.19814605725446</v>
      </c>
      <c r="F56" s="24">
        <v>125.76681764225347</v>
      </c>
      <c r="G56" s="24">
        <v>168.18845878314093</v>
      </c>
      <c r="H56" s="24">
        <v>257.473258783141</v>
      </c>
      <c r="I56" s="33"/>
      <c r="J56" s="24">
        <v>106.26214605725445</v>
      </c>
      <c r="K56" s="24">
        <v>140.53810759571596</v>
      </c>
      <c r="L56" s="24">
        <v>231.4292587831409</v>
      </c>
      <c r="M56" s="24">
        <v>348.86525878314103</v>
      </c>
      <c r="N56" s="33"/>
      <c r="O56" s="24">
        <v>104.83414605725446</v>
      </c>
      <c r="P56" s="24">
        <v>136.730107595716</v>
      </c>
      <c r="Q56" s="24">
        <v>220.33165878314097</v>
      </c>
      <c r="R56" s="24">
        <v>332.68125878314095</v>
      </c>
      <c r="S56" s="33"/>
      <c r="T56" s="24">
        <v>102.48214605725445</v>
      </c>
      <c r="U56" s="24">
        <v>131.31561764225347</v>
      </c>
      <c r="V56" s="24">
        <v>202.05325878314093</v>
      </c>
      <c r="W56" s="24">
        <v>306.025258783141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252.04979505570623</v>
      </c>
      <c r="F57" s="24">
        <v>272.74815385444174</v>
      </c>
      <c r="G57" s="24">
        <v>280.95304454902026</v>
      </c>
      <c r="H57" s="24">
        <v>290.8926161267664</v>
      </c>
      <c r="I57" s="33"/>
      <c r="J57" s="24">
        <v>256.08179505570627</v>
      </c>
      <c r="K57" s="24">
        <v>283.5001538544418</v>
      </c>
      <c r="L57" s="24">
        <v>289.72921654902024</v>
      </c>
      <c r="M57" s="24">
        <v>303.62029612676645</v>
      </c>
      <c r="N57" s="33"/>
      <c r="O57" s="24">
        <v>255.36779505570627</v>
      </c>
      <c r="P57" s="24">
        <v>281.5961538544418</v>
      </c>
      <c r="Q57" s="24">
        <v>288.18371254902024</v>
      </c>
      <c r="R57" s="24">
        <v>301.3664361267664</v>
      </c>
      <c r="S57" s="33"/>
      <c r="T57" s="24">
        <v>254.19179505570622</v>
      </c>
      <c r="U57" s="24">
        <v>278.4601538544417</v>
      </c>
      <c r="V57" s="24">
        <v>285.6381765490203</v>
      </c>
      <c r="W57" s="24">
        <v>297.65419612676646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207.90279505570624</v>
      </c>
      <c r="F58" s="24">
        <v>236.7067565941678</v>
      </c>
      <c r="G58" s="24">
        <v>253.69987659416768</v>
      </c>
      <c r="H58" s="24">
        <v>263.03755659416777</v>
      </c>
      <c r="I58" s="33"/>
      <c r="J58" s="24">
        <v>215.96679505570626</v>
      </c>
      <c r="K58" s="24">
        <v>258.2107565941677</v>
      </c>
      <c r="L58" s="24">
        <v>275.8341565941678</v>
      </c>
      <c r="M58" s="24">
        <v>295.0247565941677</v>
      </c>
      <c r="N58" s="33"/>
      <c r="O58" s="24">
        <v>214.53879505570626</v>
      </c>
      <c r="P58" s="24">
        <v>254.40275659416773</v>
      </c>
      <c r="Q58" s="24">
        <v>271.9499965941677</v>
      </c>
      <c r="R58" s="24">
        <v>289.3603565941678</v>
      </c>
      <c r="S58" s="33"/>
      <c r="T58" s="24">
        <v>212.18679505570623</v>
      </c>
      <c r="U58" s="24">
        <v>248.1307565941678</v>
      </c>
      <c r="V58" s="24">
        <v>265.55255659416775</v>
      </c>
      <c r="W58" s="24">
        <v>280.03075659416777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252.05005392289564</v>
      </c>
      <c r="F59" s="24">
        <v>272.74841272163115</v>
      </c>
      <c r="G59" s="24">
        <v>280.9533034162097</v>
      </c>
      <c r="H59" s="24">
        <v>290.89287499395584</v>
      </c>
      <c r="I59" s="33"/>
      <c r="J59" s="24">
        <v>256.0820539228957</v>
      </c>
      <c r="K59" s="24">
        <v>283.5004127216312</v>
      </c>
      <c r="L59" s="24">
        <v>289.72947541620965</v>
      </c>
      <c r="M59" s="24">
        <v>303.62055499395586</v>
      </c>
      <c r="N59" s="33"/>
      <c r="O59" s="24">
        <v>255.36805392289568</v>
      </c>
      <c r="P59" s="24">
        <v>281.5964127216312</v>
      </c>
      <c r="Q59" s="24">
        <v>288.18397141620966</v>
      </c>
      <c r="R59" s="24">
        <v>301.36669499395583</v>
      </c>
      <c r="S59" s="33"/>
      <c r="T59" s="24">
        <v>254.19205392289564</v>
      </c>
      <c r="U59" s="24">
        <v>278.46041272163114</v>
      </c>
      <c r="V59" s="24">
        <v>285.6384354162097</v>
      </c>
      <c r="W59" s="24">
        <v>297.6544549939559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207.9030539228956</v>
      </c>
      <c r="F60" s="24">
        <v>236.70701546135723</v>
      </c>
      <c r="G60" s="24">
        <v>253.7001354613571</v>
      </c>
      <c r="H60" s="24">
        <v>263.0378154613572</v>
      </c>
      <c r="I60" s="33"/>
      <c r="J60" s="24">
        <v>215.96705392289567</v>
      </c>
      <c r="K60" s="24">
        <v>258.21101546135714</v>
      </c>
      <c r="L60" s="24">
        <v>275.8344154613572</v>
      </c>
      <c r="M60" s="24">
        <v>295.0250154613571</v>
      </c>
      <c r="N60" s="33"/>
      <c r="O60" s="24">
        <v>214.53905392289568</v>
      </c>
      <c r="P60" s="24">
        <v>254.40301546135714</v>
      </c>
      <c r="Q60" s="24">
        <v>271.95025546135713</v>
      </c>
      <c r="R60" s="24">
        <v>289.3606154613572</v>
      </c>
      <c r="S60" s="33"/>
      <c r="T60" s="24">
        <v>212.18705392289564</v>
      </c>
      <c r="U60" s="24">
        <v>248.1310154613572</v>
      </c>
      <c r="V60" s="24">
        <v>265.55281546135717</v>
      </c>
      <c r="W60" s="24">
        <v>280.0310154613572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317.01268612692064</v>
      </c>
      <c r="F61" s="24">
        <v>337.71104492565615</v>
      </c>
      <c r="G61" s="24">
        <v>347.8477054142111</v>
      </c>
      <c r="H61" s="24">
        <v>357.78727699195724</v>
      </c>
      <c r="I61" s="33"/>
      <c r="J61" s="24">
        <v>321.0446861269207</v>
      </c>
      <c r="K61" s="24">
        <v>348.4630449256562</v>
      </c>
      <c r="L61" s="24">
        <v>356.62387741421105</v>
      </c>
      <c r="M61" s="24">
        <v>370.51495699195726</v>
      </c>
      <c r="N61" s="33"/>
      <c r="O61" s="24">
        <v>320.3306861269207</v>
      </c>
      <c r="P61" s="24">
        <v>346.5590449256562</v>
      </c>
      <c r="Q61" s="24">
        <v>355.07837341421106</v>
      </c>
      <c r="R61" s="24">
        <v>368.26109699195723</v>
      </c>
      <c r="S61" s="33"/>
      <c r="T61" s="24">
        <v>319.1546861269207</v>
      </c>
      <c r="U61" s="24">
        <v>343.4230449256562</v>
      </c>
      <c r="V61" s="24">
        <v>352.5328374142111</v>
      </c>
      <c r="W61" s="24">
        <v>364.5488569919573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252.94568612692066</v>
      </c>
      <c r="F62" s="24">
        <v>285.7336476653822</v>
      </c>
      <c r="G62" s="24">
        <v>294.7587676653822</v>
      </c>
      <c r="H62" s="24">
        <v>252.52581105038223</v>
      </c>
      <c r="I62" s="33"/>
      <c r="J62" s="24">
        <v>261.00968612692066</v>
      </c>
      <c r="K62" s="24">
        <v>307.2376476653822</v>
      </c>
      <c r="L62" s="24">
        <v>316.8930476653822</v>
      </c>
      <c r="M62" s="24">
        <v>284.51301105038226</v>
      </c>
      <c r="N62" s="33"/>
      <c r="O62" s="24">
        <v>259.58168612692066</v>
      </c>
      <c r="P62" s="24">
        <v>303.4296476653822</v>
      </c>
      <c r="Q62" s="24">
        <v>313.00888766538225</v>
      </c>
      <c r="R62" s="24">
        <v>278.84861105038226</v>
      </c>
      <c r="S62" s="33"/>
      <c r="T62" s="24">
        <v>257.2296861269207</v>
      </c>
      <c r="U62" s="24">
        <v>297.1576476653823</v>
      </c>
      <c r="V62" s="24">
        <v>306.6114476653822</v>
      </c>
      <c r="W62" s="24">
        <v>269.51901105038235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378.7253183309457</v>
      </c>
      <c r="F63" s="24">
        <v>399.42367712968115</v>
      </c>
      <c r="G63" s="24">
        <v>411.49210741221253</v>
      </c>
      <c r="H63" s="24">
        <v>421.4316789899587</v>
      </c>
      <c r="I63" s="33"/>
      <c r="J63" s="24">
        <v>382.7573183309457</v>
      </c>
      <c r="K63" s="24">
        <v>410.1756771296812</v>
      </c>
      <c r="L63" s="24">
        <v>420.2682794122125</v>
      </c>
      <c r="M63" s="24">
        <v>434.15935898995866</v>
      </c>
      <c r="N63" s="33"/>
      <c r="O63" s="24">
        <v>382.04331833094574</v>
      </c>
      <c r="P63" s="24">
        <v>408.2716771296812</v>
      </c>
      <c r="Q63" s="24">
        <v>418.72277541221246</v>
      </c>
      <c r="R63" s="24">
        <v>431.90549898995863</v>
      </c>
      <c r="S63" s="33"/>
      <c r="T63" s="24">
        <v>380.8673183309457</v>
      </c>
      <c r="U63" s="24">
        <v>405.13567712968114</v>
      </c>
      <c r="V63" s="24">
        <v>416.1772394122126</v>
      </c>
      <c r="W63" s="24">
        <v>428.1932589899587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294.7383183309457</v>
      </c>
      <c r="F64" s="40">
        <v>331.51027986940716</v>
      </c>
      <c r="G64" s="40">
        <v>312.8687632544072</v>
      </c>
      <c r="H64" s="40">
        <v>198.0384432544073</v>
      </c>
      <c r="I64" s="33"/>
      <c r="J64" s="40">
        <v>302.8023183309457</v>
      </c>
      <c r="K64" s="40">
        <v>353.0142798694073</v>
      </c>
      <c r="L64" s="40">
        <v>335.0030432544072</v>
      </c>
      <c r="M64" s="40">
        <v>230.0256432544071</v>
      </c>
      <c r="N64" s="33"/>
      <c r="O64" s="40">
        <v>301.3743183309457</v>
      </c>
      <c r="P64" s="40">
        <v>349.2062798694073</v>
      </c>
      <c r="Q64" s="40">
        <v>331.11888325440725</v>
      </c>
      <c r="R64" s="40">
        <v>224.3612432544072</v>
      </c>
      <c r="S64" s="33"/>
      <c r="T64" s="40">
        <v>299.02231833094567</v>
      </c>
      <c r="U64" s="40">
        <v>342.93427986940713</v>
      </c>
      <c r="V64" s="40">
        <v>324.7214432544072</v>
      </c>
      <c r="W64" s="41">
        <v>215.0316432544072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8.00390625" style="43" customWidth="1"/>
    <col min="2" max="2" width="9.140625" style="43" customWidth="1"/>
    <col min="3" max="3" width="2.7109375" style="43" customWidth="1"/>
    <col min="4" max="7" width="9.140625" style="43" customWidth="1"/>
    <col min="8" max="8" width="2.7109375" style="43" customWidth="1"/>
    <col min="9" max="12" width="9.140625" style="43" customWidth="1"/>
    <col min="13" max="13" width="2.7109375" style="43" customWidth="1"/>
    <col min="14" max="16" width="9.140625" style="43" customWidth="1"/>
    <col min="17" max="17" width="10.57421875" style="43" customWidth="1"/>
    <col min="18" max="18" width="2.7109375" style="43" customWidth="1"/>
    <col min="19" max="21" width="9.140625" style="43" customWidth="1"/>
    <col min="22" max="22" width="11.8515625" style="43" customWidth="1"/>
    <col min="23" max="23" width="2.7109375" style="29" customWidth="1"/>
    <col min="24" max="16384" width="9.140625" style="43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23" s="5" customFormat="1" ht="18.75">
      <c r="A2" s="10" t="s">
        <v>112</v>
      </c>
      <c r="B2" s="11"/>
      <c r="C2" s="29"/>
      <c r="D2" s="11"/>
      <c r="E2" s="11"/>
      <c r="F2" s="11"/>
      <c r="G2" s="11"/>
      <c r="H2" s="29"/>
      <c r="I2" s="11"/>
      <c r="J2" s="11"/>
      <c r="K2" s="11"/>
      <c r="L2" s="11"/>
      <c r="M2" s="29"/>
      <c r="N2" s="11"/>
      <c r="O2" s="11"/>
      <c r="P2" s="11"/>
      <c r="Q2" s="11"/>
      <c r="R2" s="29"/>
      <c r="S2" s="11"/>
      <c r="T2" s="11"/>
      <c r="U2" s="11"/>
      <c r="V2" s="11"/>
      <c r="W2" s="29"/>
    </row>
    <row r="3" spans="1:23" s="5" customFormat="1" ht="12.75">
      <c r="A3" s="31" t="s">
        <v>31</v>
      </c>
      <c r="B3" s="11"/>
      <c r="C3" s="29"/>
      <c r="D3" s="11"/>
      <c r="E3" s="11"/>
      <c r="F3" s="11"/>
      <c r="G3" s="11"/>
      <c r="H3" s="29"/>
      <c r="I3" s="11"/>
      <c r="J3" s="11"/>
      <c r="K3" s="11"/>
      <c r="L3" s="11"/>
      <c r="M3" s="29"/>
      <c r="N3" s="11"/>
      <c r="O3" s="11"/>
      <c r="P3" s="11"/>
      <c r="Q3" s="11"/>
      <c r="R3" s="29"/>
      <c r="S3" s="11"/>
      <c r="T3" s="11"/>
      <c r="U3" s="11"/>
      <c r="V3" s="11"/>
      <c r="W3" s="29"/>
    </row>
    <row r="4" spans="1:23" s="5" customFormat="1" ht="33.75" customHeight="1">
      <c r="A4" s="44" t="s">
        <v>34</v>
      </c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3" s="5" customFormat="1" ht="24">
      <c r="A5" s="18" t="s">
        <v>27</v>
      </c>
      <c r="B5" s="14" t="s">
        <v>35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</row>
    <row r="6" spans="1:23" s="5" customFormat="1" ht="12.75">
      <c r="A6" s="22" t="s">
        <v>10</v>
      </c>
      <c r="B6" s="24">
        <v>-0.007310825376151797</v>
      </c>
      <c r="C6" s="33"/>
      <c r="D6" s="24">
        <v>-10.007310825376152</v>
      </c>
      <c r="E6" s="24">
        <v>-10.008063828537388</v>
      </c>
      <c r="F6" s="24">
        <v>-10.008063828537303</v>
      </c>
      <c r="G6" s="24">
        <v>-10.00806382853736</v>
      </c>
      <c r="H6" s="33"/>
      <c r="I6" s="24">
        <v>-10.007310825376123</v>
      </c>
      <c r="J6" s="24">
        <v>-10.008063828537303</v>
      </c>
      <c r="K6" s="24">
        <v>-10.00806382853736</v>
      </c>
      <c r="L6" s="24">
        <v>-10.282156979222322</v>
      </c>
      <c r="M6" s="33"/>
      <c r="N6" s="24">
        <v>-10.007310825376152</v>
      </c>
      <c r="O6" s="24">
        <v>-10.008063828537303</v>
      </c>
      <c r="P6" s="24">
        <v>-10.008063828537388</v>
      </c>
      <c r="Q6" s="24">
        <v>-10.282156979222265</v>
      </c>
      <c r="R6" s="33"/>
      <c r="S6" s="24">
        <v>-10.007310825376152</v>
      </c>
      <c r="T6" s="24">
        <v>-10.00806382853736</v>
      </c>
      <c r="U6" s="24">
        <v>-10.00806382853736</v>
      </c>
      <c r="V6" s="24">
        <v>-10.282156979222265</v>
      </c>
      <c r="W6" s="35"/>
    </row>
    <row r="7" spans="1:23" s="5" customFormat="1" ht="12.75">
      <c r="A7" s="22" t="s">
        <v>11</v>
      </c>
      <c r="B7" s="24">
        <v>-0.0211119593605531</v>
      </c>
      <c r="C7" s="33"/>
      <c r="D7" s="24">
        <v>-20.101111959360594</v>
      </c>
      <c r="E7" s="24">
        <v>-20.403519987532206</v>
      </c>
      <c r="F7" s="24">
        <v>-22.39195811320667</v>
      </c>
      <c r="G7" s="24">
        <v>-28.370594728206868</v>
      </c>
      <c r="H7" s="33"/>
      <c r="I7" s="24">
        <v>-20.101111959360594</v>
      </c>
      <c r="J7" s="24">
        <v>-18.359958113206687</v>
      </c>
      <c r="K7" s="24">
        <v>-22.39195811320667</v>
      </c>
      <c r="L7" s="24">
        <v>-28.370594728206754</v>
      </c>
      <c r="M7" s="33"/>
      <c r="N7" s="24">
        <v>-20.101111959360594</v>
      </c>
      <c r="O7" s="24">
        <v>-18.359958113206687</v>
      </c>
      <c r="P7" s="24">
        <v>-22.39195811320667</v>
      </c>
      <c r="Q7" s="24">
        <v>-28.370594728206754</v>
      </c>
      <c r="R7" s="33"/>
      <c r="S7" s="24">
        <v>-20.101111959360594</v>
      </c>
      <c r="T7" s="24">
        <v>-18.359958113206744</v>
      </c>
      <c r="U7" s="24">
        <v>-22.39195811320667</v>
      </c>
      <c r="V7" s="24">
        <v>-28.370594728206754</v>
      </c>
      <c r="W7" s="35"/>
    </row>
    <row r="8" spans="1:23" s="5" customFormat="1" ht="12.75">
      <c r="A8" s="22" t="s">
        <v>12</v>
      </c>
      <c r="B8" s="24">
        <v>-0.007310825376180219</v>
      </c>
      <c r="C8" s="33"/>
      <c r="D8" s="24"/>
      <c r="E8" s="24"/>
      <c r="F8" s="24"/>
      <c r="G8" s="24"/>
      <c r="H8" s="33"/>
      <c r="I8" s="24"/>
      <c r="J8" s="24"/>
      <c r="K8" s="24"/>
      <c r="L8" s="24"/>
      <c r="M8" s="33"/>
      <c r="N8" s="24"/>
      <c r="O8" s="24"/>
      <c r="P8" s="24"/>
      <c r="Q8" s="24"/>
      <c r="R8" s="33"/>
      <c r="S8" s="24"/>
      <c r="T8" s="24"/>
      <c r="U8" s="24"/>
      <c r="V8" s="24"/>
      <c r="W8" s="35"/>
    </row>
    <row r="9" spans="1:23" s="5" customFormat="1" ht="12.75">
      <c r="A9" s="22" t="s">
        <v>13</v>
      </c>
      <c r="B9" s="24">
        <v>-0.0211119593605531</v>
      </c>
      <c r="C9" s="33"/>
      <c r="D9" s="24"/>
      <c r="E9" s="24"/>
      <c r="F9" s="24"/>
      <c r="G9" s="24"/>
      <c r="H9" s="33"/>
      <c r="I9" s="24"/>
      <c r="J9" s="24"/>
      <c r="K9" s="24"/>
      <c r="L9" s="24"/>
      <c r="M9" s="33"/>
      <c r="N9" s="24"/>
      <c r="O9" s="24"/>
      <c r="P9" s="24"/>
      <c r="Q9" s="24"/>
      <c r="R9" s="33"/>
      <c r="S9" s="24"/>
      <c r="T9" s="24"/>
      <c r="U9" s="24"/>
      <c r="V9" s="24"/>
      <c r="W9" s="35"/>
    </row>
    <row r="10" spans="1:23" s="5" customFormat="1" ht="12.75">
      <c r="A10" s="22" t="s">
        <v>14</v>
      </c>
      <c r="B10" s="24"/>
      <c r="C10" s="33"/>
      <c r="D10" s="24">
        <v>-10.007310825376209</v>
      </c>
      <c r="E10" s="24">
        <v>-10.008063828537416</v>
      </c>
      <c r="F10" s="24">
        <v>-10.008063828537416</v>
      </c>
      <c r="G10" s="24">
        <v>-10.00806382853736</v>
      </c>
      <c r="H10" s="33"/>
      <c r="I10" s="24">
        <v>-10.007310825376152</v>
      </c>
      <c r="J10" s="24">
        <v>-10.008063828537416</v>
      </c>
      <c r="K10" s="24">
        <v>-10.008063828537416</v>
      </c>
      <c r="L10" s="24">
        <v>-10.282156979222322</v>
      </c>
      <c r="M10" s="33"/>
      <c r="N10" s="24">
        <v>-10.007310825376152</v>
      </c>
      <c r="O10" s="24">
        <v>-10.008063828537416</v>
      </c>
      <c r="P10" s="24">
        <v>-10.00806382853736</v>
      </c>
      <c r="Q10" s="24">
        <v>-10.282156979222322</v>
      </c>
      <c r="R10" s="33"/>
      <c r="S10" s="24">
        <v>-10.007310825376152</v>
      </c>
      <c r="T10" s="24">
        <v>-10.008063828537416</v>
      </c>
      <c r="U10" s="24">
        <v>-10.008063828537416</v>
      </c>
      <c r="V10" s="24">
        <v>-10.140514154428757</v>
      </c>
      <c r="W10" s="35"/>
    </row>
    <row r="11" spans="1:23" s="5" customFormat="1" ht="12.75">
      <c r="A11" s="22" t="s">
        <v>15</v>
      </c>
      <c r="B11" s="24"/>
      <c r="C11" s="33"/>
      <c r="D11" s="24">
        <v>-20.00731082537618</v>
      </c>
      <c r="E11" s="24">
        <v>-20.008063828537445</v>
      </c>
      <c r="F11" s="24">
        <v>-20.282156979222407</v>
      </c>
      <c r="G11" s="24">
        <v>-26.472508166647344</v>
      </c>
      <c r="H11" s="33"/>
      <c r="I11" s="24">
        <v>-20.00731082537618</v>
      </c>
      <c r="J11" s="24">
        <v>-20.282156979222407</v>
      </c>
      <c r="K11" s="24">
        <v>-20.282156979222407</v>
      </c>
      <c r="L11" s="24">
        <v>-85.87730816664737</v>
      </c>
      <c r="M11" s="33"/>
      <c r="N11" s="24">
        <v>-20.00731082537618</v>
      </c>
      <c r="O11" s="24">
        <v>-20.282156979222407</v>
      </c>
      <c r="P11" s="24">
        <v>-20.28215697922235</v>
      </c>
      <c r="Q11" s="24">
        <v>-75.35770816664728</v>
      </c>
      <c r="R11" s="33"/>
      <c r="S11" s="24">
        <v>-20.00731082537618</v>
      </c>
      <c r="T11" s="24">
        <v>-20.008063828537445</v>
      </c>
      <c r="U11" s="24">
        <v>-20.28215697922235</v>
      </c>
      <c r="V11" s="24">
        <v>-58.031308166647364</v>
      </c>
      <c r="W11" s="35"/>
    </row>
    <row r="12" spans="1:23" s="5" customFormat="1" ht="12.75">
      <c r="A12" s="22" t="s">
        <v>16</v>
      </c>
      <c r="B12" s="24"/>
      <c r="C12" s="33"/>
      <c r="D12" s="24">
        <v>-10.021111959360638</v>
      </c>
      <c r="E12" s="24">
        <v>-10.021864962521704</v>
      </c>
      <c r="F12" s="24">
        <v>-10.021864962521818</v>
      </c>
      <c r="G12" s="24">
        <v>-10.021864962521818</v>
      </c>
      <c r="H12" s="33"/>
      <c r="I12" s="24">
        <v>-10.02111195936061</v>
      </c>
      <c r="J12" s="24">
        <v>-10.021864962521818</v>
      </c>
      <c r="K12" s="24">
        <v>-10.021864962521818</v>
      </c>
      <c r="L12" s="24">
        <v>-10.021864962521818</v>
      </c>
      <c r="M12" s="33"/>
      <c r="N12" s="24">
        <v>-10.021111959360582</v>
      </c>
      <c r="O12" s="24">
        <v>-10.021864962521818</v>
      </c>
      <c r="P12" s="24">
        <v>-10.021864962521818</v>
      </c>
      <c r="Q12" s="24">
        <v>-10.021864962521704</v>
      </c>
      <c r="R12" s="33"/>
      <c r="S12" s="24">
        <v>-10.021111959360582</v>
      </c>
      <c r="T12" s="24">
        <v>-10.021864962521704</v>
      </c>
      <c r="U12" s="24">
        <v>-10.021864962521818</v>
      </c>
      <c r="V12" s="24">
        <v>-10.021864962521818</v>
      </c>
      <c r="W12" s="35"/>
    </row>
    <row r="13" spans="1:23" s="5" customFormat="1" ht="12.75">
      <c r="A13" s="22" t="s">
        <v>17</v>
      </c>
      <c r="B13" s="24"/>
      <c r="C13" s="33"/>
      <c r="D13" s="24">
        <v>-30.101111959360537</v>
      </c>
      <c r="E13" s="24">
        <v>-28.3599581132068</v>
      </c>
      <c r="F13" s="24">
        <v>-32.39195811320667</v>
      </c>
      <c r="G13" s="24">
        <v>-38.37059472820664</v>
      </c>
      <c r="H13" s="33"/>
      <c r="I13" s="24">
        <v>-30.101111959360594</v>
      </c>
      <c r="J13" s="24">
        <v>-28.359958113206687</v>
      </c>
      <c r="K13" s="24">
        <v>-32.39195811320678</v>
      </c>
      <c r="L13" s="24">
        <v>-38.37059472820653</v>
      </c>
      <c r="M13" s="33"/>
      <c r="N13" s="24">
        <v>-30.10111195936065</v>
      </c>
      <c r="O13" s="24">
        <v>-28.359958113206687</v>
      </c>
      <c r="P13" s="24">
        <v>-32.39195811320667</v>
      </c>
      <c r="Q13" s="24">
        <v>-38.370594728206754</v>
      </c>
      <c r="R13" s="33"/>
      <c r="S13" s="24">
        <v>-30.101111959360537</v>
      </c>
      <c r="T13" s="24">
        <v>-28.3599581132068</v>
      </c>
      <c r="U13" s="24">
        <v>-32.39195811320667</v>
      </c>
      <c r="V13" s="24">
        <v>-38.370594728206754</v>
      </c>
      <c r="W13" s="35"/>
    </row>
    <row r="14" spans="1:23" s="5" customFormat="1" ht="12.75">
      <c r="A14" s="22" t="s">
        <v>18</v>
      </c>
      <c r="B14" s="24"/>
      <c r="C14" s="33"/>
      <c r="D14" s="42">
        <v>-32.39652407538233</v>
      </c>
      <c r="E14" s="24">
        <v>-10.009439488662792</v>
      </c>
      <c r="F14" s="24">
        <v>-10.00943948866285</v>
      </c>
      <c r="G14" s="24">
        <v>-10.00943948866285</v>
      </c>
      <c r="H14" s="33"/>
      <c r="I14" s="42">
        <v>-24.90852407538233</v>
      </c>
      <c r="J14" s="24">
        <v>-10.00943948866285</v>
      </c>
      <c r="K14" s="24">
        <v>-10.00943948866285</v>
      </c>
      <c r="L14" s="24">
        <v>-10.00943948866285</v>
      </c>
      <c r="M14" s="33"/>
      <c r="N14" s="42">
        <v>-26.234524075382467</v>
      </c>
      <c r="O14" s="24">
        <v>-10.00943948866285</v>
      </c>
      <c r="P14" s="24">
        <v>-10.009439488662792</v>
      </c>
      <c r="Q14" s="24">
        <v>-10.00943948866285</v>
      </c>
      <c r="R14" s="33"/>
      <c r="S14" s="42">
        <v>-28.418524075382436</v>
      </c>
      <c r="T14" s="24">
        <v>-10.00943948866285</v>
      </c>
      <c r="U14" s="24">
        <v>-10.009439488662736</v>
      </c>
      <c r="V14" s="24">
        <v>-10.00943948866285</v>
      </c>
      <c r="W14" s="35"/>
    </row>
    <row r="15" spans="1:23" s="5" customFormat="1" ht="12.75">
      <c r="A15" s="22" t="s">
        <v>19</v>
      </c>
      <c r="B15" s="24"/>
      <c r="C15" s="33"/>
      <c r="D15" s="24">
        <v>-30.088686485501626</v>
      </c>
      <c r="E15" s="24">
        <v>-28.347532639347776</v>
      </c>
      <c r="F15" s="24">
        <v>-32.379532639347644</v>
      </c>
      <c r="G15" s="24">
        <v>-38.358169254347786</v>
      </c>
      <c r="H15" s="33"/>
      <c r="I15" s="24">
        <v>-30.088686485501626</v>
      </c>
      <c r="J15" s="24">
        <v>-28.347532639347776</v>
      </c>
      <c r="K15" s="24">
        <v>-32.379532639347644</v>
      </c>
      <c r="L15" s="24">
        <v>-38.358169254347786</v>
      </c>
      <c r="M15" s="33"/>
      <c r="N15" s="24">
        <v>-30.08868648550157</v>
      </c>
      <c r="O15" s="24">
        <v>-28.347532639347776</v>
      </c>
      <c r="P15" s="24">
        <v>-32.379532639347644</v>
      </c>
      <c r="Q15" s="24">
        <v>-38.358169254347786</v>
      </c>
      <c r="R15" s="33"/>
      <c r="S15" s="24">
        <v>-30.088686485501626</v>
      </c>
      <c r="T15" s="24">
        <v>-28.347532639347776</v>
      </c>
      <c r="U15" s="24">
        <v>-32.379532639347644</v>
      </c>
      <c r="V15" s="24">
        <v>-38.358169254347786</v>
      </c>
      <c r="W15" s="35"/>
    </row>
    <row r="16" spans="1:23" s="5" customFormat="1" ht="12.75">
      <c r="A16" s="22" t="s">
        <v>20</v>
      </c>
      <c r="B16" s="24"/>
      <c r="C16" s="33"/>
      <c r="D16" s="42">
        <v>-97.35915627940739</v>
      </c>
      <c r="E16" s="42">
        <v>-58.757515078142944</v>
      </c>
      <c r="F16" s="24">
        <v>-10.00943948866285</v>
      </c>
      <c r="G16" s="24">
        <v>-10.00943948866285</v>
      </c>
      <c r="H16" s="33"/>
      <c r="I16" s="42">
        <v>-89.87115627940733</v>
      </c>
      <c r="J16" s="42">
        <v>-38.78951507814287</v>
      </c>
      <c r="K16" s="24">
        <v>-10.009439488662736</v>
      </c>
      <c r="L16" s="24">
        <v>-10.009439488662963</v>
      </c>
      <c r="M16" s="33"/>
      <c r="N16" s="42">
        <v>-91.19715627940747</v>
      </c>
      <c r="O16" s="42">
        <v>-42.325515078142814</v>
      </c>
      <c r="P16" s="24">
        <v>-10.00943948866285</v>
      </c>
      <c r="Q16" s="24">
        <v>-10.009439488662963</v>
      </c>
      <c r="R16" s="33"/>
      <c r="S16" s="42">
        <v>-93.38115627940732</v>
      </c>
      <c r="T16" s="42">
        <v>-48.14951507814288</v>
      </c>
      <c r="U16" s="24">
        <v>-10.009439488662736</v>
      </c>
      <c r="V16" s="24">
        <v>-10.009439488662736</v>
      </c>
      <c r="W16" s="35"/>
    </row>
    <row r="17" spans="1:23" s="5" customFormat="1" ht="12.75">
      <c r="A17" s="22" t="s">
        <v>21</v>
      </c>
      <c r="B17" s="24"/>
      <c r="C17" s="33"/>
      <c r="D17" s="42">
        <v>-99.35215627940738</v>
      </c>
      <c r="E17" s="24">
        <v>-32.37953263934776</v>
      </c>
      <c r="F17" s="24">
        <v>-44.68616925434765</v>
      </c>
      <c r="G17" s="24">
        <v>-108.48353263934769</v>
      </c>
      <c r="H17" s="33"/>
      <c r="I17" s="42">
        <v>-84.37615627940727</v>
      </c>
      <c r="J17" s="24">
        <v>-32.379532639347644</v>
      </c>
      <c r="K17" s="24">
        <v>-44.68616925434765</v>
      </c>
      <c r="L17" s="24">
        <v>-108.48353263934769</v>
      </c>
      <c r="M17" s="33"/>
      <c r="N17" s="42">
        <v>-87.02815627940743</v>
      </c>
      <c r="O17" s="24">
        <v>-32.379532639347644</v>
      </c>
      <c r="P17" s="24">
        <v>-44.68616925434765</v>
      </c>
      <c r="Q17" s="24">
        <v>-108.48353263934769</v>
      </c>
      <c r="R17" s="33"/>
      <c r="S17" s="42">
        <v>-91.39615627940736</v>
      </c>
      <c r="T17" s="24">
        <v>-32.37953263934787</v>
      </c>
      <c r="U17" s="24">
        <v>-44.68616925434753</v>
      </c>
      <c r="V17" s="24">
        <v>-108.48353263934769</v>
      </c>
      <c r="W17" s="35"/>
    </row>
    <row r="18" spans="1:23" s="5" customFormat="1" ht="12.75">
      <c r="A18" s="22" t="s">
        <v>22</v>
      </c>
      <c r="B18" s="24"/>
      <c r="C18" s="33"/>
      <c r="D18" s="42">
        <v>-111.63353263934772</v>
      </c>
      <c r="E18" s="42">
        <v>-111.63353263934783</v>
      </c>
      <c r="F18" s="24">
        <v>-10.009439488662736</v>
      </c>
      <c r="G18" s="24">
        <v>-10.009439488662736</v>
      </c>
      <c r="H18" s="33"/>
      <c r="I18" s="42">
        <v>-111.6335326393476</v>
      </c>
      <c r="J18" s="42">
        <v>-100.50214728216798</v>
      </c>
      <c r="K18" s="24">
        <v>-10.00943948866285</v>
      </c>
      <c r="L18" s="24">
        <v>-10.00943948866285</v>
      </c>
      <c r="M18" s="33"/>
      <c r="N18" s="42">
        <v>-111.6335326393476</v>
      </c>
      <c r="O18" s="42">
        <v>-104.03814728216804</v>
      </c>
      <c r="P18" s="24">
        <v>-10.00943948866285</v>
      </c>
      <c r="Q18" s="24">
        <v>-10.009439488662736</v>
      </c>
      <c r="R18" s="33"/>
      <c r="S18" s="42">
        <v>-111.6335326393476</v>
      </c>
      <c r="T18" s="42">
        <v>-109.86214728216788</v>
      </c>
      <c r="U18" s="24">
        <v>-10.00943948866285</v>
      </c>
      <c r="V18" s="24">
        <v>-10.009439488662963</v>
      </c>
      <c r="W18" s="35"/>
    </row>
    <row r="19" spans="1:23" s="5" customFormat="1" ht="12.75">
      <c r="A19" s="22" t="s">
        <v>23</v>
      </c>
      <c r="B19" s="24"/>
      <c r="C19" s="33"/>
      <c r="D19" s="42">
        <v>-141.79353263934763</v>
      </c>
      <c r="E19" s="24">
        <v>-36.41153263934768</v>
      </c>
      <c r="F19" s="24">
        <v>-100.92353263934774</v>
      </c>
      <c r="G19" s="24">
        <v>-137.88353263934766</v>
      </c>
      <c r="H19" s="33"/>
      <c r="I19" s="42">
        <v>-141.79353263934775</v>
      </c>
      <c r="J19" s="24">
        <v>-36.41153263934768</v>
      </c>
      <c r="K19" s="24">
        <v>-100.92353263934774</v>
      </c>
      <c r="L19" s="24">
        <v>-137.88353263934766</v>
      </c>
      <c r="M19" s="33"/>
      <c r="N19" s="42">
        <v>-141.79353263934763</v>
      </c>
      <c r="O19" s="24">
        <v>-36.41153263934768</v>
      </c>
      <c r="P19" s="24">
        <v>-100.92353263934774</v>
      </c>
      <c r="Q19" s="24">
        <v>-137.88353263934766</v>
      </c>
      <c r="R19" s="33"/>
      <c r="S19" s="42">
        <v>-141.79353263934786</v>
      </c>
      <c r="T19" s="24">
        <v>-36.41153263934768</v>
      </c>
      <c r="U19" s="24">
        <v>-100.92353263934785</v>
      </c>
      <c r="V19" s="24">
        <v>-137.88353263934766</v>
      </c>
      <c r="W19" s="35"/>
    </row>
    <row r="20" spans="1:23" s="5" customFormat="1" ht="24">
      <c r="A20" s="18" t="s">
        <v>28</v>
      </c>
      <c r="B20" s="14" t="s">
        <v>35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s="5" customFormat="1" ht="12.75">
      <c r="A21" s="22" t="s">
        <v>10</v>
      </c>
      <c r="B21" s="24">
        <v>-0.005185065192065963</v>
      </c>
      <c r="C21" s="33"/>
      <c r="D21" s="24">
        <v>-10.005185065192094</v>
      </c>
      <c r="E21" s="24">
        <v>-10.005938068353274</v>
      </c>
      <c r="F21" s="24">
        <v>-10.005938068353274</v>
      </c>
      <c r="G21" s="24">
        <v>-10.00593806835333</v>
      </c>
      <c r="H21" s="33"/>
      <c r="I21" s="24">
        <v>-10.005185065192094</v>
      </c>
      <c r="J21" s="24">
        <v>-10.005938068353274</v>
      </c>
      <c r="K21" s="24">
        <v>-10.00593806835333</v>
      </c>
      <c r="L21" s="24">
        <v>-25.03003121903822</v>
      </c>
      <c r="M21" s="33"/>
      <c r="N21" s="24">
        <v>-10.005185065192094</v>
      </c>
      <c r="O21" s="24">
        <v>-10.005938068353274</v>
      </c>
      <c r="P21" s="24">
        <v>-10.005938068353302</v>
      </c>
      <c r="Q21" s="24">
        <v>-25.030031219038236</v>
      </c>
      <c r="R21" s="33"/>
      <c r="S21" s="24">
        <v>-10.005185065192094</v>
      </c>
      <c r="T21" s="24">
        <v>-10.005938068353302</v>
      </c>
      <c r="U21" s="24">
        <v>-10.005938068353302</v>
      </c>
      <c r="V21" s="24">
        <v>-22.795735845288235</v>
      </c>
      <c r="W21" s="35"/>
    </row>
    <row r="22" spans="1:23" s="5" customFormat="1" ht="12.75">
      <c r="A22" s="22" t="s">
        <v>11</v>
      </c>
      <c r="B22" s="24">
        <v>-0.009933169158898636</v>
      </c>
      <c r="C22" s="33"/>
      <c r="D22" s="24">
        <v>-20.08993316915891</v>
      </c>
      <c r="E22" s="24">
        <v>-20.877841197330554</v>
      </c>
      <c r="F22" s="24">
        <v>-22.866279323005017</v>
      </c>
      <c r="G22" s="24">
        <v>-28.844915938005045</v>
      </c>
      <c r="H22" s="33"/>
      <c r="I22" s="24">
        <v>-20.575433169158913</v>
      </c>
      <c r="J22" s="24">
        <v>-18.83427932300509</v>
      </c>
      <c r="K22" s="24">
        <v>-22.866279323005017</v>
      </c>
      <c r="L22" s="24">
        <v>-28.84491593800516</v>
      </c>
      <c r="M22" s="33"/>
      <c r="N22" s="24">
        <v>-20.1289331691589</v>
      </c>
      <c r="O22" s="24">
        <v>-18.83427932300509</v>
      </c>
      <c r="P22" s="24">
        <v>-22.866279323005017</v>
      </c>
      <c r="Q22" s="24">
        <v>-28.844915938005045</v>
      </c>
      <c r="R22" s="33"/>
      <c r="S22" s="24">
        <v>-20.08993316915891</v>
      </c>
      <c r="T22" s="24">
        <v>-18.83427932300509</v>
      </c>
      <c r="U22" s="24">
        <v>-22.866279323005017</v>
      </c>
      <c r="V22" s="24">
        <v>-28.844915938005045</v>
      </c>
      <c r="W22" s="35"/>
    </row>
    <row r="23" spans="1:23" s="5" customFormat="1" ht="12.75">
      <c r="A23" s="22" t="s">
        <v>12</v>
      </c>
      <c r="B23" s="24">
        <v>-0.005185065192065963</v>
      </c>
      <c r="C23" s="33"/>
      <c r="D23" s="24"/>
      <c r="E23" s="24"/>
      <c r="F23" s="24"/>
      <c r="G23" s="24"/>
      <c r="H23" s="33"/>
      <c r="I23" s="24"/>
      <c r="J23" s="24"/>
      <c r="K23" s="24"/>
      <c r="L23" s="24"/>
      <c r="M23" s="33"/>
      <c r="N23" s="24"/>
      <c r="O23" s="24"/>
      <c r="P23" s="24"/>
      <c r="Q23" s="24"/>
      <c r="R23" s="33"/>
      <c r="S23" s="24"/>
      <c r="T23" s="24"/>
      <c r="U23" s="24"/>
      <c r="V23" s="24"/>
      <c r="W23" s="35"/>
    </row>
    <row r="24" spans="1:23" s="5" customFormat="1" ht="12.75">
      <c r="A24" s="22" t="s">
        <v>13</v>
      </c>
      <c r="B24" s="24">
        <v>-0.00993316915895548</v>
      </c>
      <c r="C24" s="33"/>
      <c r="D24" s="24"/>
      <c r="E24" s="24"/>
      <c r="F24" s="24"/>
      <c r="G24" s="24"/>
      <c r="H24" s="33"/>
      <c r="I24" s="24"/>
      <c r="J24" s="24"/>
      <c r="K24" s="24"/>
      <c r="L24" s="24"/>
      <c r="M24" s="33"/>
      <c r="N24" s="24"/>
      <c r="O24" s="24"/>
      <c r="P24" s="24"/>
      <c r="Q24" s="24"/>
      <c r="R24" s="33"/>
      <c r="S24" s="24"/>
      <c r="T24" s="24"/>
      <c r="U24" s="24"/>
      <c r="V24" s="24"/>
      <c r="W24" s="35"/>
    </row>
    <row r="25" spans="1:23" s="5" customFormat="1" ht="12.75">
      <c r="A25" s="22" t="s">
        <v>14</v>
      </c>
      <c r="B25" s="24"/>
      <c r="C25" s="33"/>
      <c r="D25" s="24">
        <v>-10.005185065192094</v>
      </c>
      <c r="E25" s="24">
        <v>-10.005938068353302</v>
      </c>
      <c r="F25" s="24">
        <v>-10.005938068353345</v>
      </c>
      <c r="G25" s="24">
        <v>-10.005938068353288</v>
      </c>
      <c r="H25" s="33"/>
      <c r="I25" s="24">
        <v>-10.005185065192066</v>
      </c>
      <c r="J25" s="24">
        <v>-10.005938068353345</v>
      </c>
      <c r="K25" s="24">
        <v>-10.005938068353288</v>
      </c>
      <c r="L25" s="24">
        <v>-10.28003121903825</v>
      </c>
      <c r="M25" s="33"/>
      <c r="N25" s="24">
        <v>-10.005185065192094</v>
      </c>
      <c r="O25" s="24">
        <v>-10.005938068353345</v>
      </c>
      <c r="P25" s="24">
        <v>-10.005938068353316</v>
      </c>
      <c r="Q25" s="24">
        <v>-10.28003121903825</v>
      </c>
      <c r="R25" s="33"/>
      <c r="S25" s="24">
        <v>-10.005185065192094</v>
      </c>
      <c r="T25" s="24">
        <v>-10.005938068353288</v>
      </c>
      <c r="U25" s="24">
        <v>-10.005938068353288</v>
      </c>
      <c r="V25" s="24">
        <v>-10.138388394244686</v>
      </c>
      <c r="W25" s="35"/>
    </row>
    <row r="26" spans="1:23" s="5" customFormat="1" ht="12.75">
      <c r="A26" s="22" t="s">
        <v>15</v>
      </c>
      <c r="B26" s="24"/>
      <c r="C26" s="33"/>
      <c r="D26" s="24">
        <v>-20.00518506519208</v>
      </c>
      <c r="E26" s="24">
        <v>-20.005938068353316</v>
      </c>
      <c r="F26" s="24">
        <v>-35.03003121903822</v>
      </c>
      <c r="G26" s="24">
        <v>-35.03003121903825</v>
      </c>
      <c r="H26" s="33"/>
      <c r="I26" s="24">
        <v>-20.00518506519205</v>
      </c>
      <c r="J26" s="24">
        <v>-20.28003121903822</v>
      </c>
      <c r="K26" s="24">
        <v>-35.03003121903822</v>
      </c>
      <c r="L26" s="24">
        <v>-35.03003121903828</v>
      </c>
      <c r="M26" s="33"/>
      <c r="N26" s="24">
        <v>-20.00518506519208</v>
      </c>
      <c r="O26" s="24">
        <v>-20.28003121903825</v>
      </c>
      <c r="P26" s="24">
        <v>-35.03003121903822</v>
      </c>
      <c r="Q26" s="24">
        <v>-35.03003121903828</v>
      </c>
      <c r="R26" s="33"/>
      <c r="S26" s="24">
        <v>-20.00518506519208</v>
      </c>
      <c r="T26" s="24">
        <v>-20.005938068353288</v>
      </c>
      <c r="U26" s="24">
        <v>-35.03003121903822</v>
      </c>
      <c r="V26" s="24">
        <v>-35.03003121903828</v>
      </c>
      <c r="W26" s="35"/>
    </row>
    <row r="27" spans="1:23" s="5" customFormat="1" ht="12.75">
      <c r="A27" s="22" t="s">
        <v>16</v>
      </c>
      <c r="B27" s="24"/>
      <c r="C27" s="33"/>
      <c r="D27" s="24">
        <v>-10.009933169158955</v>
      </c>
      <c r="E27" s="24">
        <v>-10.010686172320163</v>
      </c>
      <c r="F27" s="24">
        <v>-10.010686172320163</v>
      </c>
      <c r="G27" s="24">
        <v>-10.010686172320163</v>
      </c>
      <c r="H27" s="33"/>
      <c r="I27" s="24">
        <v>-10.009933169159012</v>
      </c>
      <c r="J27" s="24">
        <v>-10.01068617232022</v>
      </c>
      <c r="K27" s="24">
        <v>-10.010686172320163</v>
      </c>
      <c r="L27" s="24">
        <v>-10.01068617232022</v>
      </c>
      <c r="M27" s="33"/>
      <c r="N27" s="24">
        <v>-10.009933169158955</v>
      </c>
      <c r="O27" s="24">
        <v>-10.01068617232022</v>
      </c>
      <c r="P27" s="24">
        <v>-10.01068617232022</v>
      </c>
      <c r="Q27" s="24">
        <v>-10.01068617232022</v>
      </c>
      <c r="R27" s="33"/>
      <c r="S27" s="24">
        <v>-10.009933169158955</v>
      </c>
      <c r="T27" s="24">
        <v>-10.010686172320163</v>
      </c>
      <c r="U27" s="24">
        <v>-10.01068617232022</v>
      </c>
      <c r="V27" s="24">
        <v>-10.01068617232022</v>
      </c>
      <c r="W27" s="35"/>
    </row>
    <row r="28" spans="1:23" s="5" customFormat="1" ht="12.75">
      <c r="A28" s="22" t="s">
        <v>17</v>
      </c>
      <c r="B28" s="24"/>
      <c r="C28" s="33"/>
      <c r="D28" s="24">
        <v>-30.089933169158996</v>
      </c>
      <c r="E28" s="24">
        <v>-28.348779323005203</v>
      </c>
      <c r="F28" s="24">
        <v>-32.380779323005015</v>
      </c>
      <c r="G28" s="24">
        <v>-38.35941593800504</v>
      </c>
      <c r="H28" s="33"/>
      <c r="I28" s="24">
        <v>-30.089933169158996</v>
      </c>
      <c r="J28" s="24">
        <v>-28.348779323005203</v>
      </c>
      <c r="K28" s="24">
        <v>-32.38077932300513</v>
      </c>
      <c r="L28" s="24">
        <v>-38.35941593800504</v>
      </c>
      <c r="M28" s="33"/>
      <c r="N28" s="24">
        <v>-30.089933169158996</v>
      </c>
      <c r="O28" s="24">
        <v>-28.348779323005203</v>
      </c>
      <c r="P28" s="24">
        <v>-32.380779323005015</v>
      </c>
      <c r="Q28" s="24">
        <v>-38.35941593800504</v>
      </c>
      <c r="R28" s="33"/>
      <c r="S28" s="24">
        <v>-30.08993316915894</v>
      </c>
      <c r="T28" s="24">
        <v>-28.348779323005203</v>
      </c>
      <c r="U28" s="24">
        <v>-32.38077932300513</v>
      </c>
      <c r="V28" s="24">
        <v>-38.35941593800504</v>
      </c>
      <c r="W28" s="35"/>
    </row>
    <row r="29" spans="1:23" s="5" customFormat="1" ht="12.75">
      <c r="A29" s="22" t="s">
        <v>18</v>
      </c>
      <c r="B29" s="24"/>
      <c r="C29" s="33"/>
      <c r="D29" s="24">
        <v>-10.007920387028236</v>
      </c>
      <c r="E29" s="24">
        <v>-10.008673390189472</v>
      </c>
      <c r="F29" s="24">
        <v>-10.008673390189529</v>
      </c>
      <c r="G29" s="24">
        <v>-10.008673390189529</v>
      </c>
      <c r="H29" s="33"/>
      <c r="I29" s="24">
        <v>-10.007920387028292</v>
      </c>
      <c r="J29" s="24">
        <v>-10.008673390189472</v>
      </c>
      <c r="K29" s="24">
        <v>-10.008673390189529</v>
      </c>
      <c r="L29" s="24">
        <v>-10.008673390189585</v>
      </c>
      <c r="M29" s="33"/>
      <c r="N29" s="24">
        <v>-10.007920387028236</v>
      </c>
      <c r="O29" s="24">
        <v>-10.008673390189472</v>
      </c>
      <c r="P29" s="24">
        <v>-10.008673390189472</v>
      </c>
      <c r="Q29" s="24">
        <v>-10.008673390189472</v>
      </c>
      <c r="R29" s="33"/>
      <c r="S29" s="24">
        <v>-10.007920387028236</v>
      </c>
      <c r="T29" s="24">
        <v>-10.008673390189472</v>
      </c>
      <c r="U29" s="24">
        <v>-10.008673390189472</v>
      </c>
      <c r="V29" s="24">
        <v>-10.008673390189472</v>
      </c>
      <c r="W29" s="35"/>
    </row>
    <row r="30" spans="1:23" s="5" customFormat="1" ht="12.75">
      <c r="A30" s="22" t="s">
        <v>19</v>
      </c>
      <c r="B30" s="24"/>
      <c r="C30" s="33"/>
      <c r="D30" s="24">
        <v>-30.08792038702822</v>
      </c>
      <c r="E30" s="24">
        <v>-28.346766540874512</v>
      </c>
      <c r="F30" s="24">
        <v>-32.37876654087438</v>
      </c>
      <c r="G30" s="24">
        <v>-38.35740315587441</v>
      </c>
      <c r="H30" s="33"/>
      <c r="I30" s="24">
        <v>-30.087920387028277</v>
      </c>
      <c r="J30" s="24">
        <v>-28.3467665408744</v>
      </c>
      <c r="K30" s="24">
        <v>-32.37876654087438</v>
      </c>
      <c r="L30" s="24">
        <v>-38.35740315587441</v>
      </c>
      <c r="M30" s="33"/>
      <c r="N30" s="24">
        <v>-30.08792038702822</v>
      </c>
      <c r="O30" s="24">
        <v>-28.3467665408744</v>
      </c>
      <c r="P30" s="24">
        <v>-32.37876654087427</v>
      </c>
      <c r="Q30" s="24">
        <v>-38.35740315587441</v>
      </c>
      <c r="R30" s="33"/>
      <c r="S30" s="24">
        <v>-30.087920387028277</v>
      </c>
      <c r="T30" s="24">
        <v>-28.346766540874512</v>
      </c>
      <c r="U30" s="24">
        <v>-32.37876654087438</v>
      </c>
      <c r="V30" s="24">
        <v>-38.35740315587441</v>
      </c>
      <c r="W30" s="35"/>
    </row>
    <row r="31" spans="1:23" s="5" customFormat="1" ht="12.75">
      <c r="A31" s="22" t="s">
        <v>20</v>
      </c>
      <c r="B31" s="24"/>
      <c r="C31" s="33"/>
      <c r="D31" s="24">
        <v>-10.007920387028264</v>
      </c>
      <c r="E31" s="24">
        <v>-10.008673390189472</v>
      </c>
      <c r="F31" s="24">
        <v>-10.008673390189415</v>
      </c>
      <c r="G31" s="24">
        <v>-10.008673390189415</v>
      </c>
      <c r="H31" s="33"/>
      <c r="I31" s="24">
        <v>-10.007920387028264</v>
      </c>
      <c r="J31" s="24">
        <v>-10.008673390189472</v>
      </c>
      <c r="K31" s="24">
        <v>-10.008673390189415</v>
      </c>
      <c r="L31" s="24">
        <v>-10.008673390189472</v>
      </c>
      <c r="M31" s="33"/>
      <c r="N31" s="24">
        <v>-10.007920387028207</v>
      </c>
      <c r="O31" s="24">
        <v>-10.008673390189472</v>
      </c>
      <c r="P31" s="24">
        <v>-10.008673390189472</v>
      </c>
      <c r="Q31" s="24">
        <v>-10.008673390189472</v>
      </c>
      <c r="R31" s="33"/>
      <c r="S31" s="24">
        <v>-10.007920387028264</v>
      </c>
      <c r="T31" s="24">
        <v>-10.008673390189529</v>
      </c>
      <c r="U31" s="24">
        <v>-10.008673390189472</v>
      </c>
      <c r="V31" s="24">
        <v>-10.008673390189472</v>
      </c>
      <c r="W31" s="35"/>
    </row>
    <row r="32" spans="1:23" s="5" customFormat="1" ht="12.75">
      <c r="A32" s="22" t="s">
        <v>21</v>
      </c>
      <c r="B32" s="24"/>
      <c r="C32" s="33"/>
      <c r="D32" s="24">
        <v>-35.1279203870283</v>
      </c>
      <c r="E32" s="24">
        <v>-32.37876654087438</v>
      </c>
      <c r="F32" s="24">
        <v>-44.68540315587427</v>
      </c>
      <c r="G32" s="24">
        <v>-108.48276654087442</v>
      </c>
      <c r="H32" s="33"/>
      <c r="I32" s="24">
        <v>-35.12792038702827</v>
      </c>
      <c r="J32" s="24">
        <v>-32.378766540874494</v>
      </c>
      <c r="K32" s="24">
        <v>-44.68540315587438</v>
      </c>
      <c r="L32" s="24">
        <v>-108.48276654087442</v>
      </c>
      <c r="M32" s="33"/>
      <c r="N32" s="24">
        <v>-35.12792038702821</v>
      </c>
      <c r="O32" s="24">
        <v>-32.378766540874494</v>
      </c>
      <c r="P32" s="24">
        <v>-44.68540315587438</v>
      </c>
      <c r="Q32" s="24">
        <v>-108.48276654087442</v>
      </c>
      <c r="R32" s="33"/>
      <c r="S32" s="24">
        <v>-35.127920387028325</v>
      </c>
      <c r="T32" s="24">
        <v>-32.378766540874494</v>
      </c>
      <c r="U32" s="24">
        <v>-44.68540315587427</v>
      </c>
      <c r="V32" s="24">
        <v>-108.48276654087442</v>
      </c>
      <c r="W32" s="35"/>
    </row>
    <row r="33" spans="1:23" s="5" customFormat="1" ht="12.75">
      <c r="A33" s="22" t="s">
        <v>22</v>
      </c>
      <c r="B33" s="24"/>
      <c r="C33" s="33"/>
      <c r="D33" s="24">
        <v>-10.00792038702832</v>
      </c>
      <c r="E33" s="24">
        <v>-10.008673390189472</v>
      </c>
      <c r="F33" s="24">
        <v>-10.008673390189585</v>
      </c>
      <c r="G33" s="24">
        <v>-10.008673390189585</v>
      </c>
      <c r="H33" s="33"/>
      <c r="I33" s="24">
        <v>-10.007920387028264</v>
      </c>
      <c r="J33" s="24">
        <v>-10.008673390189472</v>
      </c>
      <c r="K33" s="24">
        <v>-10.008673390189472</v>
      </c>
      <c r="L33" s="24">
        <v>-10.008673390189585</v>
      </c>
      <c r="M33" s="33"/>
      <c r="N33" s="24">
        <v>-10.007920387028264</v>
      </c>
      <c r="O33" s="24">
        <v>-10.008673390189472</v>
      </c>
      <c r="P33" s="24">
        <v>-10.008673390189472</v>
      </c>
      <c r="Q33" s="24">
        <v>-10.008673390189472</v>
      </c>
      <c r="R33" s="33"/>
      <c r="S33" s="24">
        <v>-10.007920387028264</v>
      </c>
      <c r="T33" s="24">
        <v>-10.008673390189472</v>
      </c>
      <c r="U33" s="24">
        <v>-10.008673390189585</v>
      </c>
      <c r="V33" s="24">
        <v>-10.008673390189472</v>
      </c>
      <c r="W33" s="35"/>
    </row>
    <row r="34" spans="1:24" s="12" customFormat="1" ht="12.75">
      <c r="A34" s="38" t="s">
        <v>23</v>
      </c>
      <c r="B34" s="40"/>
      <c r="C34" s="33"/>
      <c r="D34" s="40">
        <v>-40.16792038702829</v>
      </c>
      <c r="E34" s="40">
        <v>-36.41076654087442</v>
      </c>
      <c r="F34" s="40">
        <v>-100.92276654087436</v>
      </c>
      <c r="G34" s="40">
        <v>-137.8827665408743</v>
      </c>
      <c r="H34" s="33"/>
      <c r="I34" s="40">
        <v>-40.16792038702823</v>
      </c>
      <c r="J34" s="40">
        <v>-36.41076654087453</v>
      </c>
      <c r="K34" s="40">
        <v>-100.92276654087436</v>
      </c>
      <c r="L34" s="40">
        <v>-137.8827665408743</v>
      </c>
      <c r="M34" s="33"/>
      <c r="N34" s="40">
        <v>-40.16792038702823</v>
      </c>
      <c r="O34" s="40">
        <v>-36.41076654087453</v>
      </c>
      <c r="P34" s="40">
        <v>-100.92276654087436</v>
      </c>
      <c r="Q34" s="40">
        <v>-137.8827665408743</v>
      </c>
      <c r="R34" s="33"/>
      <c r="S34" s="40">
        <v>-40.167920387028175</v>
      </c>
      <c r="T34" s="40">
        <v>-36.410766540874306</v>
      </c>
      <c r="U34" s="40">
        <v>-100.92276654087436</v>
      </c>
      <c r="V34" s="41">
        <v>-137.8827665408743</v>
      </c>
      <c r="W34" s="35"/>
      <c r="X34" s="36"/>
    </row>
    <row r="35" spans="2:24" s="12" customFormat="1" ht="12.75">
      <c r="B35" s="11"/>
      <c r="C35" s="29"/>
      <c r="D35" s="11"/>
      <c r="E35" s="11"/>
      <c r="F35" s="11"/>
      <c r="G35" s="11"/>
      <c r="H35" s="29"/>
      <c r="I35" s="11"/>
      <c r="J35" s="11"/>
      <c r="K35" s="11"/>
      <c r="L35" s="11"/>
      <c r="M35" s="29"/>
      <c r="N35" s="11"/>
      <c r="O35" s="11"/>
      <c r="P35" s="11"/>
      <c r="Q35" s="11"/>
      <c r="R35" s="29"/>
      <c r="S35" s="11"/>
      <c r="T35" s="11"/>
      <c r="U35" s="11"/>
      <c r="V35" s="11"/>
      <c r="W35" s="29"/>
      <c r="X35" s="36"/>
    </row>
    <row r="36" ht="12.75">
      <c r="W36" s="17"/>
    </row>
    <row r="37" ht="12.75">
      <c r="W37" s="17"/>
    </row>
    <row r="38" ht="12.75">
      <c r="W38" s="17"/>
    </row>
    <row r="39" ht="12.75">
      <c r="W39" s="17"/>
    </row>
    <row r="40" ht="12.75">
      <c r="W40" s="17"/>
    </row>
    <row r="41" ht="12.75">
      <c r="W41" s="17"/>
    </row>
    <row r="42" ht="12.75">
      <c r="W42" s="17"/>
    </row>
    <row r="43" ht="12.75">
      <c r="W43" s="17"/>
    </row>
    <row r="44" ht="12.75">
      <c r="W44" s="17"/>
    </row>
    <row r="45" ht="12.75">
      <c r="W45" s="17"/>
    </row>
    <row r="46" ht="12.75">
      <c r="W46" s="17"/>
    </row>
    <row r="47" ht="12.75">
      <c r="W47" s="17"/>
    </row>
    <row r="48" ht="12.75">
      <c r="W48" s="17"/>
    </row>
    <row r="49" ht="12.75">
      <c r="W49" s="17"/>
    </row>
    <row r="50" ht="12.75">
      <c r="W50" s="30"/>
    </row>
    <row r="51" ht="12.75">
      <c r="W51" s="17"/>
    </row>
    <row r="52" ht="12.75">
      <c r="W52" s="17"/>
    </row>
    <row r="53" ht="12.75">
      <c r="W53" s="17"/>
    </row>
    <row r="54" ht="12.75">
      <c r="W54" s="17"/>
    </row>
    <row r="55" ht="12.75">
      <c r="W55" s="17"/>
    </row>
    <row r="56" ht="12.75">
      <c r="W56" s="17"/>
    </row>
    <row r="57" ht="12.75">
      <c r="W57" s="17"/>
    </row>
    <row r="58" ht="12.75">
      <c r="W58" s="17"/>
    </row>
    <row r="59" ht="12.75">
      <c r="W59" s="17"/>
    </row>
    <row r="60" ht="12.75">
      <c r="W60" s="17"/>
    </row>
    <row r="61" ht="12.75">
      <c r="W61" s="17"/>
    </row>
    <row r="62" ht="12.75">
      <c r="W62" s="17"/>
    </row>
    <row r="63" ht="12.75">
      <c r="W63" s="17"/>
    </row>
    <row r="64" ht="12.75">
      <c r="W64" s="17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8.8515625" style="45" customWidth="1"/>
    <col min="2" max="3" width="9.140625" style="49" customWidth="1"/>
    <col min="4" max="4" width="2.7109375" style="49" customWidth="1"/>
    <col min="5" max="8" width="9.140625" style="49" customWidth="1"/>
    <col min="9" max="9" width="2.7109375" style="49" customWidth="1"/>
    <col min="10" max="13" width="9.140625" style="49" customWidth="1"/>
    <col min="14" max="16384" width="9.140625" style="4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13" ht="18.75">
      <c r="A2" s="10" t="s">
        <v>111</v>
      </c>
      <c r="B2" s="11"/>
      <c r="C2" s="11"/>
      <c r="D2" s="29"/>
      <c r="E2" s="11"/>
      <c r="F2" s="11"/>
      <c r="G2" s="11"/>
      <c r="H2" s="11"/>
      <c r="I2" s="29"/>
      <c r="J2" s="11"/>
      <c r="K2" s="11"/>
      <c r="L2" s="11"/>
      <c r="M2" s="11"/>
    </row>
    <row r="3" spans="1:13" ht="12.75">
      <c r="A3" s="31" t="s">
        <v>31</v>
      </c>
      <c r="B3" s="11"/>
      <c r="C3" s="11"/>
      <c r="D3" s="29"/>
      <c r="E3" s="11"/>
      <c r="F3" s="11"/>
      <c r="G3" s="11"/>
      <c r="H3" s="11"/>
      <c r="I3" s="29"/>
      <c r="J3" s="11"/>
      <c r="K3" s="11"/>
      <c r="L3" s="11"/>
      <c r="M3" s="11"/>
    </row>
    <row r="4" spans="1:13" ht="12.75">
      <c r="A4" s="31"/>
      <c r="B4" s="11"/>
      <c r="C4" s="11"/>
      <c r="D4" s="29"/>
      <c r="E4" s="11"/>
      <c r="F4" s="11"/>
      <c r="G4" s="11"/>
      <c r="H4" s="11"/>
      <c r="I4" s="29"/>
      <c r="J4" s="11"/>
      <c r="K4" s="11"/>
      <c r="L4" s="11"/>
      <c r="M4" s="11"/>
    </row>
    <row r="5" spans="1:28" ht="33.75" customHeight="1">
      <c r="A5" s="31"/>
      <c r="B5" s="20"/>
      <c r="C5" s="20"/>
      <c r="D5" s="20"/>
      <c r="E5" s="304" t="s">
        <v>36</v>
      </c>
      <c r="F5" s="305"/>
      <c r="G5" s="305"/>
      <c r="H5" s="306"/>
      <c r="I5" s="20"/>
      <c r="J5" s="304" t="s">
        <v>41</v>
      </c>
      <c r="K5" s="305"/>
      <c r="L5" s="305"/>
      <c r="M5" s="306"/>
      <c r="N5" s="6"/>
      <c r="S5" s="6"/>
      <c r="Y5" s="6" t="s">
        <v>3</v>
      </c>
      <c r="Z5" s="6"/>
      <c r="AA5" s="6"/>
      <c r="AB5" s="6"/>
    </row>
    <row r="6" spans="1:28" ht="36">
      <c r="A6" s="18" t="s">
        <v>9</v>
      </c>
      <c r="B6" s="13" t="s">
        <v>8</v>
      </c>
      <c r="C6" s="60" t="s">
        <v>37</v>
      </c>
      <c r="D6" s="32"/>
      <c r="E6" s="28" t="s">
        <v>4</v>
      </c>
      <c r="F6" s="14" t="s">
        <v>5</v>
      </c>
      <c r="G6" s="14" t="s">
        <v>6</v>
      </c>
      <c r="H6" s="15" t="s">
        <v>7</v>
      </c>
      <c r="I6" s="32"/>
      <c r="J6" s="28" t="s">
        <v>4</v>
      </c>
      <c r="K6" s="14" t="s">
        <v>5</v>
      </c>
      <c r="L6" s="14" t="s">
        <v>6</v>
      </c>
      <c r="M6" s="53" t="s">
        <v>7</v>
      </c>
      <c r="N6" s="46"/>
      <c r="S6" s="6"/>
      <c r="Y6" s="46" t="s">
        <v>4</v>
      </c>
      <c r="Z6" s="46" t="s">
        <v>5</v>
      </c>
      <c r="AA6" s="46" t="s">
        <v>6</v>
      </c>
      <c r="AB6" s="46" t="s">
        <v>7</v>
      </c>
    </row>
    <row r="7" spans="1:28" ht="12.75">
      <c r="A7" s="4" t="s">
        <v>10</v>
      </c>
      <c r="B7" s="47">
        <v>200.05625406835097</v>
      </c>
      <c r="C7" s="48">
        <v>63.06369515155288</v>
      </c>
      <c r="D7" s="50"/>
      <c r="E7" s="48">
        <v>48.75669515155286</v>
      </c>
      <c r="F7" s="48">
        <v>65.04435411440218</v>
      </c>
      <c r="G7" s="48">
        <v>73.04142611440224</v>
      </c>
      <c r="H7" s="48">
        <v>81.46324327934835</v>
      </c>
      <c r="I7" s="50"/>
      <c r="J7" s="48">
        <f aca="true" t="shared" si="0" ref="J7:M9">E7-$C7</f>
        <v>-14.307000000000016</v>
      </c>
      <c r="K7" s="48">
        <f t="shared" si="0"/>
        <v>1.9806589628493043</v>
      </c>
      <c r="L7" s="48">
        <f t="shared" si="0"/>
        <v>9.977730962849364</v>
      </c>
      <c r="M7" s="54">
        <f t="shared" si="0"/>
        <v>18.39954812779547</v>
      </c>
      <c r="N7" s="7"/>
      <c r="S7" s="7"/>
      <c r="Y7" s="7">
        <v>50.898695151552914</v>
      </c>
      <c r="Z7" s="7">
        <v>67.8187541144022</v>
      </c>
      <c r="AA7" s="7">
        <v>75.9199341144022</v>
      </c>
      <c r="AB7" s="7">
        <v>89.14881053616827</v>
      </c>
    </row>
    <row r="8" spans="1:28" ht="12.75">
      <c r="A8" s="4" t="s">
        <v>11</v>
      </c>
      <c r="B8" s="47">
        <v>229.30359875081356</v>
      </c>
      <c r="C8" s="48">
        <v>202.84945463101147</v>
      </c>
      <c r="D8" s="50"/>
      <c r="E8" s="48">
        <v>161.74945463101142</v>
      </c>
      <c r="F8" s="48">
        <v>177.66257001562684</v>
      </c>
      <c r="G8" s="48">
        <v>174.15913001562689</v>
      </c>
      <c r="H8" s="48">
        <v>161.89333340062683</v>
      </c>
      <c r="I8" s="50"/>
      <c r="J8" s="48">
        <f t="shared" si="0"/>
        <v>-41.10000000000005</v>
      </c>
      <c r="K8" s="48">
        <f t="shared" si="0"/>
        <v>-25.186884615384628</v>
      </c>
      <c r="L8" s="48">
        <f t="shared" si="0"/>
        <v>-28.690324615384583</v>
      </c>
      <c r="M8" s="54">
        <f t="shared" si="0"/>
        <v>-40.95612123038464</v>
      </c>
      <c r="N8" s="7"/>
      <c r="S8" s="7"/>
      <c r="Y8" s="7">
        <v>167.86945463101142</v>
      </c>
      <c r="Z8" s="7">
        <v>183.37457001562683</v>
      </c>
      <c r="AA8" s="7">
        <v>180.08547001562687</v>
      </c>
      <c r="AB8" s="7">
        <v>170.3899334006269</v>
      </c>
    </row>
    <row r="9" spans="1:28" ht="12.75">
      <c r="A9" s="4" t="s">
        <v>14</v>
      </c>
      <c r="B9" s="307">
        <v>200.05625406835097</v>
      </c>
      <c r="C9" s="307">
        <v>100.30624859037786</v>
      </c>
      <c r="D9" s="51"/>
      <c r="E9" s="48">
        <v>92.49924859037785</v>
      </c>
      <c r="F9" s="48">
        <v>113.19685438595215</v>
      </c>
      <c r="G9" s="48">
        <v>124.38763917221567</v>
      </c>
      <c r="H9" s="48">
        <v>126.27142679978684</v>
      </c>
      <c r="I9" s="51"/>
      <c r="J9" s="48">
        <f t="shared" si="0"/>
        <v>-7.807000000000016</v>
      </c>
      <c r="K9" s="48">
        <f t="shared" si="0"/>
        <v>12.890605795574288</v>
      </c>
      <c r="L9" s="48">
        <f t="shared" si="0"/>
        <v>24.08139058183781</v>
      </c>
      <c r="M9" s="54">
        <f t="shared" si="0"/>
        <v>25.965178209408975</v>
      </c>
      <c r="N9" s="7"/>
      <c r="S9" s="7"/>
      <c r="Y9" s="7">
        <v>94.6412485903779</v>
      </c>
      <c r="Z9" s="7">
        <v>118.90885438595214</v>
      </c>
      <c r="AA9" s="7">
        <v>127.26614717221568</v>
      </c>
      <c r="AB9" s="7">
        <v>133.03300679978682</v>
      </c>
    </row>
    <row r="10" spans="1:28" ht="12.75">
      <c r="A10" s="4" t="s">
        <v>15</v>
      </c>
      <c r="B10" s="307"/>
      <c r="C10" s="307"/>
      <c r="D10" s="52"/>
      <c r="E10" s="48">
        <v>78.19224859037786</v>
      </c>
      <c r="F10" s="48">
        <v>105.76016717221563</v>
      </c>
      <c r="G10" s="48">
        <v>131.6824839749932</v>
      </c>
      <c r="H10" s="48">
        <v>162.93216397499322</v>
      </c>
      <c r="I10" s="52"/>
      <c r="J10" s="48">
        <f>E10-$C9</f>
        <v>-22.114000000000004</v>
      </c>
      <c r="K10" s="48">
        <f>F10-$C9</f>
        <v>5.453918581837769</v>
      </c>
      <c r="L10" s="48">
        <f>G10-$C9</f>
        <v>31.37623538461534</v>
      </c>
      <c r="M10" s="54">
        <f>H10-$C9</f>
        <v>62.625915384615354</v>
      </c>
      <c r="N10" s="7"/>
      <c r="S10" s="7"/>
      <c r="Y10" s="7">
        <v>82.47624859037785</v>
      </c>
      <c r="Z10" s="7">
        <v>111.30896717221566</v>
      </c>
      <c r="AA10" s="7">
        <v>143.53516397499322</v>
      </c>
      <c r="AB10" s="7">
        <v>179.92536397499322</v>
      </c>
    </row>
    <row r="11" spans="1:28" ht="12.75">
      <c r="A11" s="4" t="s">
        <v>16</v>
      </c>
      <c r="B11" s="307">
        <v>229.30359875081356</v>
      </c>
      <c r="C11" s="309">
        <v>240.0920080698365</v>
      </c>
      <c r="D11" s="33"/>
      <c r="E11" s="48">
        <v>242.0350080698364</v>
      </c>
      <c r="F11" s="48">
        <v>262.7326138654108</v>
      </c>
      <c r="G11" s="48">
        <v>270.9375045599893</v>
      </c>
      <c r="H11" s="48">
        <v>280.87707613773546</v>
      </c>
      <c r="I11" s="33"/>
      <c r="J11" s="48">
        <f>E11-$C11</f>
        <v>1.9429999999998984</v>
      </c>
      <c r="K11" s="48">
        <f>F11-$C11</f>
        <v>22.640605795574317</v>
      </c>
      <c r="L11" s="48">
        <f>G11-$C11</f>
        <v>30.845496490152783</v>
      </c>
      <c r="M11" s="54">
        <f>H11-$C11</f>
        <v>40.78506806789895</v>
      </c>
      <c r="N11" s="7"/>
      <c r="S11" s="7"/>
      <c r="Y11" s="7">
        <v>244.17700806983646</v>
      </c>
      <c r="Z11" s="7">
        <v>268.4446138654108</v>
      </c>
      <c r="AA11" s="7">
        <v>275.62263655998925</v>
      </c>
      <c r="AB11" s="7">
        <v>287.63865613773544</v>
      </c>
    </row>
    <row r="12" spans="1:28" ht="12.75">
      <c r="A12" s="4" t="s">
        <v>17</v>
      </c>
      <c r="B12" s="307"/>
      <c r="C12" s="309"/>
      <c r="D12" s="33"/>
      <c r="E12" s="48">
        <v>177.8080080698365</v>
      </c>
      <c r="F12" s="48">
        <v>208.35312345445186</v>
      </c>
      <c r="G12" s="48">
        <v>221.31424345445186</v>
      </c>
      <c r="H12" s="48">
        <v>224.67328683945198</v>
      </c>
      <c r="I12" s="33"/>
      <c r="J12" s="48">
        <f>E12-$C11</f>
        <v>-62.28400000000002</v>
      </c>
      <c r="K12" s="48">
        <f>F12-$C11</f>
        <v>-31.73888461538465</v>
      </c>
      <c r="L12" s="48">
        <f>G12-$C11</f>
        <v>-18.777764615384655</v>
      </c>
      <c r="M12" s="54">
        <f>H12-$C11</f>
        <v>-15.418721230384534</v>
      </c>
      <c r="N12" s="7"/>
      <c r="S12" s="7"/>
      <c r="Y12" s="7">
        <v>182.09200806983648</v>
      </c>
      <c r="Z12" s="7">
        <v>219.77712345445184</v>
      </c>
      <c r="AA12" s="7">
        <v>233.16692345445193</v>
      </c>
      <c r="AB12" s="7">
        <v>241.66648683945186</v>
      </c>
    </row>
    <row r="13" spans="1:28" ht="12.75">
      <c r="A13" s="4" t="s">
        <v>18</v>
      </c>
      <c r="B13" s="307">
        <v>265.8999350974548</v>
      </c>
      <c r="C13" s="309"/>
      <c r="D13" s="33"/>
      <c r="E13" s="48">
        <v>219.6508341333145</v>
      </c>
      <c r="F13" s="48">
        <v>262.73627751876955</v>
      </c>
      <c r="G13" s="48">
        <v>270.941168213348</v>
      </c>
      <c r="H13" s="48">
        <v>280.8807397910942</v>
      </c>
      <c r="I13" s="33"/>
      <c r="J13" s="48">
        <f>E13-$C11</f>
        <v>-20.441173936522006</v>
      </c>
      <c r="K13" s="48">
        <f>F13-$C11</f>
        <v>22.644269448933045</v>
      </c>
      <c r="L13" s="48">
        <f>G13-$C11</f>
        <v>30.84916014351151</v>
      </c>
      <c r="M13" s="54">
        <f>H13-$C11</f>
        <v>40.788731721257676</v>
      </c>
      <c r="N13" s="7"/>
      <c r="S13" s="7"/>
      <c r="Y13" s="7">
        <v>225.7708341333144</v>
      </c>
      <c r="Z13" s="7">
        <v>268.44827751876954</v>
      </c>
      <c r="AA13" s="7">
        <v>275.6263002133481</v>
      </c>
      <c r="AB13" s="7">
        <v>287.64231979109417</v>
      </c>
    </row>
    <row r="14" spans="1:28" ht="12.75">
      <c r="A14" s="4" t="s">
        <v>19</v>
      </c>
      <c r="B14" s="307"/>
      <c r="C14" s="309"/>
      <c r="D14" s="33"/>
      <c r="E14" s="48">
        <v>177.81167172319522</v>
      </c>
      <c r="F14" s="48">
        <v>208.3567871078106</v>
      </c>
      <c r="G14" s="48">
        <v>221.3179071078107</v>
      </c>
      <c r="H14" s="48">
        <v>224.67695049281065</v>
      </c>
      <c r="I14" s="33"/>
      <c r="J14" s="48">
        <f>E14-$C11</f>
        <v>-62.28033634664129</v>
      </c>
      <c r="K14" s="48">
        <f>F14-$C11</f>
        <v>-31.73522096202592</v>
      </c>
      <c r="L14" s="48">
        <f>G14-$C11</f>
        <v>-18.774100962025813</v>
      </c>
      <c r="M14" s="56">
        <f>H14-$C11</f>
        <v>-15.415057577025863</v>
      </c>
      <c r="N14" s="7"/>
      <c r="S14" s="7"/>
      <c r="Y14" s="7">
        <v>182.0956717231952</v>
      </c>
      <c r="Z14" s="7">
        <v>219.78078710781057</v>
      </c>
      <c r="AA14" s="7">
        <v>233.17058710781066</v>
      </c>
      <c r="AB14" s="7">
        <v>241.67015049281054</v>
      </c>
    </row>
    <row r="15" spans="1:19" ht="36">
      <c r="A15" s="18" t="s">
        <v>25</v>
      </c>
      <c r="B15" s="13" t="s">
        <v>8</v>
      </c>
      <c r="C15" s="60" t="s">
        <v>37</v>
      </c>
      <c r="D15" s="32"/>
      <c r="E15" s="28" t="s">
        <v>4</v>
      </c>
      <c r="F15" s="14" t="s">
        <v>5</v>
      </c>
      <c r="G15" s="14" t="s">
        <v>6</v>
      </c>
      <c r="H15" s="15" t="s">
        <v>7</v>
      </c>
      <c r="I15" s="32"/>
      <c r="J15" s="28" t="s">
        <v>4</v>
      </c>
      <c r="K15" s="14" t="s">
        <v>5</v>
      </c>
      <c r="L15" s="14" t="s">
        <v>6</v>
      </c>
      <c r="M15" s="55" t="s">
        <v>7</v>
      </c>
      <c r="N15" s="7"/>
      <c r="S15" s="7"/>
    </row>
    <row r="16" spans="1:28" ht="12.75">
      <c r="A16" s="4" t="s">
        <v>10</v>
      </c>
      <c r="B16" s="47">
        <v>127.2225586275902</v>
      </c>
      <c r="C16" s="48">
        <v>63.07100597692903</v>
      </c>
      <c r="D16" s="50"/>
      <c r="E16" s="48">
        <v>58.76400597692901</v>
      </c>
      <c r="F16" s="48">
        <v>75.05241794293957</v>
      </c>
      <c r="G16" s="48">
        <v>83.04948994293954</v>
      </c>
      <c r="H16" s="48">
        <v>91.4713071078857</v>
      </c>
      <c r="I16" s="50"/>
      <c r="J16" s="48">
        <f aca="true" t="shared" si="1" ref="J16:M18">E16-$C16</f>
        <v>-4.307000000000016</v>
      </c>
      <c r="K16" s="48">
        <f t="shared" si="1"/>
        <v>11.98141196601054</v>
      </c>
      <c r="L16" s="48">
        <f t="shared" si="1"/>
        <v>19.978483966010515</v>
      </c>
      <c r="M16" s="54">
        <f t="shared" si="1"/>
        <v>28.400301130956677</v>
      </c>
      <c r="N16" s="7"/>
      <c r="S16" s="7"/>
      <c r="Y16" s="7">
        <v>60.906005976929066</v>
      </c>
      <c r="Z16" s="7">
        <v>77.82681794293956</v>
      </c>
      <c r="AA16" s="7">
        <v>85.92799794293956</v>
      </c>
      <c r="AB16" s="7">
        <v>99.43096751539053</v>
      </c>
    </row>
    <row r="17" spans="1:28" ht="12.75">
      <c r="A17" s="4" t="s">
        <v>11</v>
      </c>
      <c r="B17" s="47">
        <v>146.7261021760684</v>
      </c>
      <c r="C17" s="48">
        <v>202.87056659037202</v>
      </c>
      <c r="D17" s="50"/>
      <c r="E17" s="48">
        <v>181.850566590372</v>
      </c>
      <c r="F17" s="48">
        <v>198.06609000315905</v>
      </c>
      <c r="G17" s="48">
        <v>196.55108812883356</v>
      </c>
      <c r="H17" s="48">
        <v>190.2639281288337</v>
      </c>
      <c r="I17" s="50"/>
      <c r="J17" s="48">
        <f t="shared" si="1"/>
        <v>-21.02000000000001</v>
      </c>
      <c r="K17" s="48">
        <f t="shared" si="1"/>
        <v>-4.804476587212974</v>
      </c>
      <c r="L17" s="48">
        <f t="shared" si="1"/>
        <v>-6.319478461538466</v>
      </c>
      <c r="M17" s="54">
        <f t="shared" si="1"/>
        <v>-12.606638461538324</v>
      </c>
      <c r="N17" s="7"/>
      <c r="S17" s="7"/>
      <c r="Y17" s="7">
        <v>187.97056659037202</v>
      </c>
      <c r="Z17" s="7">
        <v>201.73452812883357</v>
      </c>
      <c r="AA17" s="7">
        <v>202.47742812883354</v>
      </c>
      <c r="AB17" s="7">
        <v>198.76052812883364</v>
      </c>
    </row>
    <row r="18" spans="1:28" ht="12.75">
      <c r="A18" s="4" t="s">
        <v>14</v>
      </c>
      <c r="B18" s="307">
        <v>127.2225586275902</v>
      </c>
      <c r="C18" s="307">
        <v>100.31355941575404</v>
      </c>
      <c r="D18" s="51"/>
      <c r="E18" s="48">
        <v>102.50655941575405</v>
      </c>
      <c r="F18" s="48">
        <v>123.20491821448957</v>
      </c>
      <c r="G18" s="48">
        <v>134.3957030007531</v>
      </c>
      <c r="H18" s="48">
        <v>136.2794906283242</v>
      </c>
      <c r="I18" s="51"/>
      <c r="J18" s="48">
        <f t="shared" si="1"/>
        <v>2.193000000000012</v>
      </c>
      <c r="K18" s="48">
        <f t="shared" si="1"/>
        <v>22.891358798735524</v>
      </c>
      <c r="L18" s="48">
        <f t="shared" si="1"/>
        <v>34.082143584999045</v>
      </c>
      <c r="M18" s="54">
        <f t="shared" si="1"/>
        <v>35.965931212570155</v>
      </c>
      <c r="N18" s="7"/>
      <c r="S18" s="7"/>
      <c r="Y18" s="7">
        <v>104.64855941575405</v>
      </c>
      <c r="Z18" s="7">
        <v>128.91691821448956</v>
      </c>
      <c r="AA18" s="7">
        <v>137.2742110007531</v>
      </c>
      <c r="AB18" s="7">
        <v>143.17352095421558</v>
      </c>
    </row>
    <row r="19" spans="1:28" ht="12.75">
      <c r="A19" s="4" t="s">
        <v>15</v>
      </c>
      <c r="B19" s="307"/>
      <c r="C19" s="307"/>
      <c r="D19" s="52"/>
      <c r="E19" s="48">
        <v>98.19955941575404</v>
      </c>
      <c r="F19" s="48">
        <v>125.76823100075308</v>
      </c>
      <c r="G19" s="48">
        <v>151.9646409542156</v>
      </c>
      <c r="H19" s="48">
        <v>189.40467214164056</v>
      </c>
      <c r="I19" s="52"/>
      <c r="J19" s="48">
        <f>E19-$C18</f>
        <v>-2.1140000000000043</v>
      </c>
      <c r="K19" s="48">
        <f>F19-$C18</f>
        <v>25.454671584999033</v>
      </c>
      <c r="L19" s="48">
        <f>G19-$C18</f>
        <v>51.65108153846157</v>
      </c>
      <c r="M19" s="54">
        <f>H19-$C18</f>
        <v>89.09111272588652</v>
      </c>
      <c r="N19" s="7"/>
      <c r="S19" s="7"/>
      <c r="Y19" s="7">
        <v>102.48355941575403</v>
      </c>
      <c r="Z19" s="7">
        <v>131.3170310007531</v>
      </c>
      <c r="AA19" s="7">
        <v>163.81732095421557</v>
      </c>
      <c r="AB19" s="7">
        <v>237.95667214164058</v>
      </c>
    </row>
    <row r="20" spans="1:28" ht="12.75">
      <c r="A20" s="57" t="s">
        <v>16</v>
      </c>
      <c r="B20" s="307">
        <v>146.7261021760684</v>
      </c>
      <c r="C20" s="309">
        <v>240.11312002919706</v>
      </c>
      <c r="D20" s="33"/>
      <c r="E20" s="48">
        <v>252.05612002919705</v>
      </c>
      <c r="F20" s="48">
        <v>272.75447882793253</v>
      </c>
      <c r="G20" s="48">
        <v>280.9593695225111</v>
      </c>
      <c r="H20" s="48">
        <v>290.8989411002573</v>
      </c>
      <c r="I20" s="33"/>
      <c r="J20" s="48">
        <f>E20-$C20</f>
        <v>11.942999999999984</v>
      </c>
      <c r="K20" s="48">
        <f>F20-$C20</f>
        <v>32.64135879873547</v>
      </c>
      <c r="L20" s="48">
        <f>G20-$C20</f>
        <v>40.84624949331405</v>
      </c>
      <c r="M20" s="54">
        <f>H20-$C20</f>
        <v>50.78582107106021</v>
      </c>
      <c r="N20" s="7"/>
      <c r="S20" s="7"/>
      <c r="Y20" s="7">
        <v>254.19812002919704</v>
      </c>
      <c r="Z20" s="7">
        <v>278.4664788279325</v>
      </c>
      <c r="AA20" s="7">
        <v>285.64450152251106</v>
      </c>
      <c r="AB20" s="7">
        <v>297.66052110025726</v>
      </c>
    </row>
    <row r="21" spans="1:28" ht="12.75">
      <c r="A21" s="57" t="s">
        <v>17</v>
      </c>
      <c r="B21" s="307"/>
      <c r="C21" s="309"/>
      <c r="D21" s="33"/>
      <c r="E21" s="48">
        <v>207.90912002919703</v>
      </c>
      <c r="F21" s="48">
        <v>236.71308156765866</v>
      </c>
      <c r="G21" s="48">
        <v>253.70620156765852</v>
      </c>
      <c r="H21" s="48">
        <v>263.0438815676586</v>
      </c>
      <c r="I21" s="33"/>
      <c r="J21" s="48">
        <f>E21-$C20</f>
        <v>-32.204000000000036</v>
      </c>
      <c r="K21" s="48">
        <f>F21-$C20</f>
        <v>-3.4000384615384007</v>
      </c>
      <c r="L21" s="48">
        <f>G21-$C20</f>
        <v>13.593081538461462</v>
      </c>
      <c r="M21" s="54">
        <f>H21-$C20</f>
        <v>22.930761538461553</v>
      </c>
      <c r="N21" s="7"/>
      <c r="S21" s="7"/>
      <c r="Y21" s="7">
        <v>212.19312002919702</v>
      </c>
      <c r="Z21" s="7">
        <v>248.13708156765864</v>
      </c>
      <c r="AA21" s="7">
        <v>265.5588815676586</v>
      </c>
      <c r="AB21" s="7">
        <v>280.0370815676586</v>
      </c>
    </row>
    <row r="22" spans="1:28" ht="12.75">
      <c r="A22" s="57" t="s">
        <v>18</v>
      </c>
      <c r="B22" s="307">
        <v>164.5548639965686</v>
      </c>
      <c r="C22" s="309"/>
      <c r="D22" s="33"/>
      <c r="E22" s="48">
        <v>252.04735820869683</v>
      </c>
      <c r="F22" s="48">
        <v>272.74571700743235</v>
      </c>
      <c r="G22" s="48">
        <v>280.95060770201087</v>
      </c>
      <c r="H22" s="48">
        <v>290.89017927975704</v>
      </c>
      <c r="I22" s="33"/>
      <c r="J22" s="48">
        <f>E22-$C20</f>
        <v>11.934238179499772</v>
      </c>
      <c r="K22" s="48">
        <f>F22-$C20</f>
        <v>32.632596978235284</v>
      </c>
      <c r="L22" s="48">
        <f>G22-$C20</f>
        <v>40.83748767281381</v>
      </c>
      <c r="M22" s="54">
        <f>H22-$C20</f>
        <v>50.77705925055997</v>
      </c>
      <c r="N22" s="7"/>
      <c r="S22" s="7"/>
      <c r="Y22" s="7">
        <v>254.18935820869683</v>
      </c>
      <c r="Z22" s="7">
        <v>278.4577170074324</v>
      </c>
      <c r="AA22" s="7">
        <v>285.6357397020108</v>
      </c>
      <c r="AB22" s="7">
        <v>297.651759279757</v>
      </c>
    </row>
    <row r="23" spans="1:28" ht="12.75">
      <c r="A23" s="58" t="s">
        <v>19</v>
      </c>
      <c r="B23" s="308"/>
      <c r="C23" s="300"/>
      <c r="D23" s="33"/>
      <c r="E23" s="59">
        <v>207.90035820869684</v>
      </c>
      <c r="F23" s="59">
        <v>236.70431974715837</v>
      </c>
      <c r="G23" s="59">
        <v>253.69743974715834</v>
      </c>
      <c r="H23" s="59">
        <v>263.03511974715843</v>
      </c>
      <c r="I23" s="33"/>
      <c r="J23" s="59">
        <f>E23-$C20</f>
        <v>-32.21276182050022</v>
      </c>
      <c r="K23" s="59">
        <f>F23-$C20</f>
        <v>-3.4088002820386976</v>
      </c>
      <c r="L23" s="59">
        <f>G23-$C20</f>
        <v>13.584319717961279</v>
      </c>
      <c r="M23" s="56">
        <f>H23-$C20</f>
        <v>22.92199971796137</v>
      </c>
      <c r="N23" s="7"/>
      <c r="S23" s="7"/>
      <c r="Y23" s="7">
        <v>212.18435820869684</v>
      </c>
      <c r="Z23" s="7">
        <v>248.12831974715834</v>
      </c>
      <c r="AA23" s="7">
        <v>265.5501197471583</v>
      </c>
      <c r="AB23" s="7">
        <v>280.0283197471583</v>
      </c>
    </row>
    <row r="24" spans="1:23" ht="12.75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8" ht="33.75" customHeight="1">
      <c r="A25" s="31"/>
      <c r="B25" s="20"/>
      <c r="C25" s="20"/>
      <c r="D25" s="20"/>
      <c r="E25" s="304" t="s">
        <v>38</v>
      </c>
      <c r="F25" s="305"/>
      <c r="G25" s="305"/>
      <c r="H25" s="306"/>
      <c r="I25" s="20"/>
      <c r="J25" s="304" t="s">
        <v>41</v>
      </c>
      <c r="K25" s="305"/>
      <c r="L25" s="305"/>
      <c r="M25" s="306"/>
      <c r="N25" s="6"/>
      <c r="S25" s="6"/>
      <c r="Y25" s="6"/>
      <c r="Z25" s="6"/>
      <c r="AA25" s="6"/>
      <c r="AB25" s="6"/>
    </row>
    <row r="26" spans="1:28" ht="36">
      <c r="A26" s="18" t="s">
        <v>9</v>
      </c>
      <c r="B26" s="13" t="s">
        <v>8</v>
      </c>
      <c r="C26" s="60" t="s">
        <v>37</v>
      </c>
      <c r="D26" s="32"/>
      <c r="E26" s="28" t="s">
        <v>4</v>
      </c>
      <c r="F26" s="14" t="s">
        <v>5</v>
      </c>
      <c r="G26" s="14" t="s">
        <v>6</v>
      </c>
      <c r="H26" s="15" t="s">
        <v>7</v>
      </c>
      <c r="I26" s="32"/>
      <c r="J26" s="28" t="s">
        <v>4</v>
      </c>
      <c r="K26" s="14" t="s">
        <v>5</v>
      </c>
      <c r="L26" s="14" t="s">
        <v>6</v>
      </c>
      <c r="M26" s="53" t="s">
        <v>7</v>
      </c>
      <c r="N26" s="46"/>
      <c r="S26" s="6"/>
      <c r="Y26" s="46"/>
      <c r="Z26" s="46"/>
      <c r="AA26" s="46"/>
      <c r="AB26" s="46"/>
    </row>
    <row r="27" spans="1:13" ht="12.75">
      <c r="A27" s="4" t="s">
        <v>10</v>
      </c>
      <c r="B27" s="47">
        <v>200.05625406835097</v>
      </c>
      <c r="C27" s="48">
        <v>63.06369515155288</v>
      </c>
      <c r="D27" s="50"/>
      <c r="E27" s="48">
        <v>52.7886951515529</v>
      </c>
      <c r="F27" s="48">
        <v>70.26675411440223</v>
      </c>
      <c r="G27" s="48">
        <v>78.4168941144022</v>
      </c>
      <c r="H27" s="48">
        <v>96.64581053616828</v>
      </c>
      <c r="I27" s="50"/>
      <c r="J27" s="48">
        <f aca="true" t="shared" si="2" ref="J27:M29">E27-$C27</f>
        <v>-10.274999999999977</v>
      </c>
      <c r="K27" s="48">
        <f t="shared" si="2"/>
        <v>7.203058962849354</v>
      </c>
      <c r="L27" s="48">
        <f t="shared" si="2"/>
        <v>15.35319896284932</v>
      </c>
      <c r="M27" s="54">
        <f t="shared" si="2"/>
        <v>33.582115384615406</v>
      </c>
    </row>
    <row r="28" spans="1:13" ht="12.75">
      <c r="A28" s="4" t="s">
        <v>11</v>
      </c>
      <c r="B28" s="47">
        <v>229.30359875081356</v>
      </c>
      <c r="C28" s="48">
        <v>202.84945463101147</v>
      </c>
      <c r="D28" s="50"/>
      <c r="E28" s="48">
        <v>171.9044546310114</v>
      </c>
      <c r="F28" s="48">
        <v>188.4145700156269</v>
      </c>
      <c r="G28" s="48">
        <v>185.22627001562688</v>
      </c>
      <c r="H28" s="48">
        <v>177.88693340062684</v>
      </c>
      <c r="I28" s="50"/>
      <c r="J28" s="48">
        <f t="shared" si="2"/>
        <v>-30.94500000000008</v>
      </c>
      <c r="K28" s="48">
        <f t="shared" si="2"/>
        <v>-14.434884615384561</v>
      </c>
      <c r="L28" s="48">
        <f t="shared" si="2"/>
        <v>-17.623184615384588</v>
      </c>
      <c r="M28" s="54">
        <f t="shared" si="2"/>
        <v>-24.962521230384624</v>
      </c>
    </row>
    <row r="29" spans="1:13" ht="12.75">
      <c r="A29" s="4" t="s">
        <v>14</v>
      </c>
      <c r="B29" s="307">
        <v>200.05625406835097</v>
      </c>
      <c r="C29" s="307">
        <v>100.30624859037786</v>
      </c>
      <c r="D29" s="51"/>
      <c r="E29" s="48">
        <v>96.53124859037788</v>
      </c>
      <c r="F29" s="48">
        <v>121.61296717221566</v>
      </c>
      <c r="G29" s="48">
        <v>129.76310717221563</v>
      </c>
      <c r="H29" s="48">
        <v>140.38836397499327</v>
      </c>
      <c r="I29" s="51"/>
      <c r="J29" s="48">
        <f t="shared" si="2"/>
        <v>-3.7749999999999773</v>
      </c>
      <c r="K29" s="48">
        <f t="shared" si="2"/>
        <v>21.3067185818378</v>
      </c>
      <c r="L29" s="48">
        <f t="shared" si="2"/>
        <v>29.456858581837764</v>
      </c>
      <c r="M29" s="54">
        <f t="shared" si="2"/>
        <v>40.082115384615406</v>
      </c>
    </row>
    <row r="30" spans="1:13" ht="12.75">
      <c r="A30" s="4" t="s">
        <v>15</v>
      </c>
      <c r="B30" s="307"/>
      <c r="C30" s="307"/>
      <c r="D30" s="52"/>
      <c r="E30" s="48">
        <v>86.25624859037788</v>
      </c>
      <c r="F30" s="48">
        <v>120.25736397499321</v>
      </c>
      <c r="G30" s="48">
        <v>153.8167639749932</v>
      </c>
      <c r="H30" s="48">
        <v>194.91936397499325</v>
      </c>
      <c r="I30" s="52"/>
      <c r="J30" s="48">
        <f>E30-$C29</f>
        <v>-14.049999999999983</v>
      </c>
      <c r="K30" s="48">
        <f>F30-$C29</f>
        <v>19.95111538461535</v>
      </c>
      <c r="L30" s="48">
        <f>G30-$C29</f>
        <v>53.51051538461533</v>
      </c>
      <c r="M30" s="54">
        <f>H30-$C29</f>
        <v>94.61311538461538</v>
      </c>
    </row>
    <row r="31" spans="1:13" ht="12.75">
      <c r="A31" s="4" t="s">
        <v>16</v>
      </c>
      <c r="B31" s="307">
        <v>229.30359875081356</v>
      </c>
      <c r="C31" s="309">
        <v>240.0920080698365</v>
      </c>
      <c r="D31" s="33"/>
      <c r="E31" s="48">
        <v>246.06700806983645</v>
      </c>
      <c r="F31" s="48">
        <v>273.4846138654108</v>
      </c>
      <c r="G31" s="48">
        <v>279.71367655998927</v>
      </c>
      <c r="H31" s="48">
        <v>293.6047561377354</v>
      </c>
      <c r="I31" s="33"/>
      <c r="J31" s="48">
        <f>E31-$C31</f>
        <v>5.9749999999999375</v>
      </c>
      <c r="K31" s="48">
        <f>F31-$C31</f>
        <v>33.39260579557427</v>
      </c>
      <c r="L31" s="48">
        <f>G31-$C31</f>
        <v>39.62166849015276</v>
      </c>
      <c r="M31" s="54">
        <f>H31-$C31</f>
        <v>53.51274806789891</v>
      </c>
    </row>
    <row r="32" spans="1:13" ht="12.75">
      <c r="A32" s="4" t="s">
        <v>17</v>
      </c>
      <c r="B32" s="307">
        <v>229.30359875081356</v>
      </c>
      <c r="C32" s="309"/>
      <c r="D32" s="33"/>
      <c r="E32" s="48">
        <v>185.87200806983645</v>
      </c>
      <c r="F32" s="48">
        <v>229.85712345445188</v>
      </c>
      <c r="G32" s="48">
        <v>243.44852345445184</v>
      </c>
      <c r="H32" s="48">
        <v>256.660486839452</v>
      </c>
      <c r="I32" s="33"/>
      <c r="J32" s="48">
        <f>E32-$C31</f>
        <v>-54.220000000000056</v>
      </c>
      <c r="K32" s="48">
        <f>F32-$C31</f>
        <v>-10.23488461538463</v>
      </c>
      <c r="L32" s="48">
        <f>G32-$C31</f>
        <v>3.356515384615335</v>
      </c>
      <c r="M32" s="54">
        <f>H32-$C31</f>
        <v>16.568478769615496</v>
      </c>
    </row>
    <row r="33" spans="1:13" ht="12.75">
      <c r="A33" s="4" t="s">
        <v>18</v>
      </c>
      <c r="B33" s="307">
        <v>265.8999350974548</v>
      </c>
      <c r="C33" s="309"/>
      <c r="D33" s="33"/>
      <c r="E33" s="48">
        <v>231.1708341333145</v>
      </c>
      <c r="F33" s="48">
        <v>273.4882775187695</v>
      </c>
      <c r="G33" s="48">
        <v>279.717340213348</v>
      </c>
      <c r="H33" s="48">
        <v>293.60841979109415</v>
      </c>
      <c r="I33" s="33"/>
      <c r="J33" s="48">
        <f>E33-$C31</f>
        <v>-8.921173936522024</v>
      </c>
      <c r="K33" s="48">
        <f>F33-$C31</f>
        <v>33.396269448933</v>
      </c>
      <c r="L33" s="48">
        <f>G33-$C31</f>
        <v>39.625332143511486</v>
      </c>
      <c r="M33" s="54">
        <f>H33-$C31</f>
        <v>53.51641172125764</v>
      </c>
    </row>
    <row r="34" spans="1:13" ht="12.75">
      <c r="A34" s="4" t="s">
        <v>19</v>
      </c>
      <c r="B34" s="307"/>
      <c r="C34" s="309"/>
      <c r="D34" s="33"/>
      <c r="E34" s="48">
        <v>185.87567172319518</v>
      </c>
      <c r="F34" s="48">
        <v>229.8607871078106</v>
      </c>
      <c r="G34" s="48">
        <v>243.4521871078107</v>
      </c>
      <c r="H34" s="48">
        <v>256.6641504928107</v>
      </c>
      <c r="I34" s="33"/>
      <c r="J34" s="48">
        <f>E34-$C31</f>
        <v>-54.21633634664133</v>
      </c>
      <c r="K34" s="48">
        <f>F34-$C31</f>
        <v>-10.231220962025901</v>
      </c>
      <c r="L34" s="48">
        <f>G34-$C31</f>
        <v>3.360179037974177</v>
      </c>
      <c r="M34" s="56">
        <f>H34-$C31</f>
        <v>16.572142422974167</v>
      </c>
    </row>
    <row r="35" spans="1:13" ht="36">
      <c r="A35" s="18" t="s">
        <v>25</v>
      </c>
      <c r="B35" s="13" t="s">
        <v>8</v>
      </c>
      <c r="C35" s="60" t="s">
        <v>37</v>
      </c>
      <c r="D35" s="32"/>
      <c r="E35" s="28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55" t="s">
        <v>7</v>
      </c>
    </row>
    <row r="36" spans="1:13" ht="12.75">
      <c r="A36" s="4" t="s">
        <v>10</v>
      </c>
      <c r="B36" s="47">
        <v>127.2225586275902</v>
      </c>
      <c r="C36" s="48">
        <v>63.07100597692903</v>
      </c>
      <c r="D36" s="50"/>
      <c r="E36" s="48">
        <v>62.796005976929024</v>
      </c>
      <c r="F36" s="48">
        <v>80.27481794293953</v>
      </c>
      <c r="G36" s="48">
        <v>88.42495794293956</v>
      </c>
      <c r="H36" s="48">
        <v>106.9279675153906</v>
      </c>
      <c r="I36" s="50"/>
      <c r="J36" s="48">
        <f aca="true" t="shared" si="3" ref="J36:M38">E36-$C36</f>
        <v>-0.2750000000000057</v>
      </c>
      <c r="K36" s="48">
        <f t="shared" si="3"/>
        <v>17.203811966010505</v>
      </c>
      <c r="L36" s="48">
        <f t="shared" si="3"/>
        <v>25.353951966010527</v>
      </c>
      <c r="M36" s="54">
        <f t="shared" si="3"/>
        <v>43.856961538461576</v>
      </c>
    </row>
    <row r="37" spans="1:13" ht="12.75">
      <c r="A37" s="4" t="s">
        <v>11</v>
      </c>
      <c r="B37" s="47">
        <v>146.7261021760684</v>
      </c>
      <c r="C37" s="48">
        <v>202.87056659037202</v>
      </c>
      <c r="D37" s="50"/>
      <c r="E37" s="48">
        <v>192.00556659037198</v>
      </c>
      <c r="F37" s="48">
        <v>206.7745281288336</v>
      </c>
      <c r="G37" s="48">
        <v>207.61822812883355</v>
      </c>
      <c r="H37" s="48">
        <v>206.2575281288336</v>
      </c>
      <c r="I37" s="50"/>
      <c r="J37" s="48">
        <f t="shared" si="3"/>
        <v>-10.865000000000038</v>
      </c>
      <c r="K37" s="48">
        <f t="shared" si="3"/>
        <v>3.903961538461573</v>
      </c>
      <c r="L37" s="48">
        <f t="shared" si="3"/>
        <v>4.747661538461529</v>
      </c>
      <c r="M37" s="54">
        <f t="shared" si="3"/>
        <v>3.386961538461577</v>
      </c>
    </row>
    <row r="38" spans="1:13" ht="12.75">
      <c r="A38" s="4" t="s">
        <v>14</v>
      </c>
      <c r="B38" s="307">
        <v>127.2225586275902</v>
      </c>
      <c r="C38" s="307">
        <v>100.31355941575404</v>
      </c>
      <c r="D38" s="51"/>
      <c r="E38" s="48">
        <v>106.53855941575404</v>
      </c>
      <c r="F38" s="48">
        <v>131.62103100075308</v>
      </c>
      <c r="G38" s="48">
        <v>139.77117100075304</v>
      </c>
      <c r="H38" s="48">
        <v>150.6705209542156</v>
      </c>
      <c r="I38" s="51"/>
      <c r="J38" s="48">
        <f t="shared" si="3"/>
        <v>6.224999999999994</v>
      </c>
      <c r="K38" s="48">
        <f t="shared" si="3"/>
        <v>31.307471584999035</v>
      </c>
      <c r="L38" s="48">
        <f t="shared" si="3"/>
        <v>39.457611584999</v>
      </c>
      <c r="M38" s="54">
        <f t="shared" si="3"/>
        <v>50.35696153846155</v>
      </c>
    </row>
    <row r="39" spans="1:13" ht="12.75">
      <c r="A39" s="4" t="s">
        <v>15</v>
      </c>
      <c r="B39" s="307">
        <v>127.2225586275902</v>
      </c>
      <c r="C39" s="307"/>
      <c r="D39" s="52"/>
      <c r="E39" s="48">
        <v>106.26355941575406</v>
      </c>
      <c r="F39" s="48">
        <v>140.53952095421562</v>
      </c>
      <c r="G39" s="48">
        <v>174.0989209542156</v>
      </c>
      <c r="H39" s="48">
        <v>280.7966721416406</v>
      </c>
      <c r="I39" s="52"/>
      <c r="J39" s="48">
        <f>E39-$C38</f>
        <v>5.950000000000017</v>
      </c>
      <c r="K39" s="48">
        <f>F39-$C38</f>
        <v>40.225961538461576</v>
      </c>
      <c r="L39" s="48">
        <f>G39-$C38</f>
        <v>73.78536153846156</v>
      </c>
      <c r="M39" s="54">
        <f>H39-$C38</f>
        <v>180.48311272588657</v>
      </c>
    </row>
    <row r="40" spans="1:13" ht="12.75">
      <c r="A40" s="57" t="s">
        <v>16</v>
      </c>
      <c r="B40" s="307">
        <v>146.7261021760684</v>
      </c>
      <c r="C40" s="309">
        <v>240.11312002919706</v>
      </c>
      <c r="D40" s="33"/>
      <c r="E40" s="48">
        <v>256.08812002919706</v>
      </c>
      <c r="F40" s="48">
        <v>283.5064788279326</v>
      </c>
      <c r="G40" s="48">
        <v>289.7355415225111</v>
      </c>
      <c r="H40" s="48">
        <v>303.62662110025724</v>
      </c>
      <c r="I40" s="33"/>
      <c r="J40" s="48">
        <f>E40-$C40</f>
        <v>15.974999999999994</v>
      </c>
      <c r="K40" s="48">
        <f>F40-$C40</f>
        <v>43.393358798735534</v>
      </c>
      <c r="L40" s="48">
        <f>G40-$C40</f>
        <v>49.62242149331402</v>
      </c>
      <c r="M40" s="54">
        <f>H40-$C40</f>
        <v>63.513501071060176</v>
      </c>
    </row>
    <row r="41" spans="1:13" ht="12.75">
      <c r="A41" s="57" t="s">
        <v>17</v>
      </c>
      <c r="B41" s="307">
        <v>146.7261021760684</v>
      </c>
      <c r="C41" s="309"/>
      <c r="D41" s="33"/>
      <c r="E41" s="48">
        <v>215.97312002919705</v>
      </c>
      <c r="F41" s="48">
        <v>258.21708156765857</v>
      </c>
      <c r="G41" s="48">
        <v>275.8404815676586</v>
      </c>
      <c r="H41" s="48">
        <v>295.03108156765853</v>
      </c>
      <c r="I41" s="33"/>
      <c r="J41" s="48">
        <f>E41-$C40</f>
        <v>-24.140000000000015</v>
      </c>
      <c r="K41" s="48">
        <f>F41-$C40</f>
        <v>18.103961538461505</v>
      </c>
      <c r="L41" s="48">
        <f>G41-$C40</f>
        <v>35.727361538461565</v>
      </c>
      <c r="M41" s="54">
        <f>H41-$C40</f>
        <v>54.91796153846147</v>
      </c>
    </row>
    <row r="42" spans="1:13" ht="12.75">
      <c r="A42" s="57" t="s">
        <v>18</v>
      </c>
      <c r="B42" s="307">
        <v>164.5548639965686</v>
      </c>
      <c r="C42" s="309"/>
      <c r="D42" s="33"/>
      <c r="E42" s="48">
        <v>256.0793582086968</v>
      </c>
      <c r="F42" s="48">
        <v>283.49771700743236</v>
      </c>
      <c r="G42" s="48">
        <v>289.72677970201084</v>
      </c>
      <c r="H42" s="48">
        <v>303.617859279757</v>
      </c>
      <c r="I42" s="33"/>
      <c r="J42" s="48">
        <f>E42-$C40</f>
        <v>15.966238179499754</v>
      </c>
      <c r="K42" s="48">
        <f>F42-$C40</f>
        <v>43.384596978235294</v>
      </c>
      <c r="L42" s="48">
        <f>G42-$C40</f>
        <v>49.61365967281378</v>
      </c>
      <c r="M42" s="54">
        <f>H42-$C40</f>
        <v>63.504739250559936</v>
      </c>
    </row>
    <row r="43" spans="1:13" ht="12.75">
      <c r="A43" s="58" t="s">
        <v>19</v>
      </c>
      <c r="B43" s="308">
        <v>164.5548639965686</v>
      </c>
      <c r="C43" s="300"/>
      <c r="D43" s="33"/>
      <c r="E43" s="59">
        <v>215.9643582086968</v>
      </c>
      <c r="F43" s="59">
        <v>258.2083197471584</v>
      </c>
      <c r="G43" s="59">
        <v>275.83171974715833</v>
      </c>
      <c r="H43" s="59">
        <v>295.02231974715846</v>
      </c>
      <c r="I43" s="33"/>
      <c r="J43" s="59">
        <f>E43-$C40</f>
        <v>-24.148761820500255</v>
      </c>
      <c r="K43" s="59">
        <f>F43-$C40</f>
        <v>18.09519971796132</v>
      </c>
      <c r="L43" s="59">
        <f>G43-$C40</f>
        <v>35.71859971796127</v>
      </c>
      <c r="M43" s="56">
        <f>H43-$C40</f>
        <v>54.9091997179614</v>
      </c>
    </row>
    <row r="45" spans="1:13" ht="33.75" customHeight="1">
      <c r="A45" s="31"/>
      <c r="B45" s="20"/>
      <c r="C45" s="20"/>
      <c r="D45" s="20"/>
      <c r="E45" s="304" t="s">
        <v>39</v>
      </c>
      <c r="F45" s="305"/>
      <c r="G45" s="305"/>
      <c r="H45" s="306"/>
      <c r="I45" s="20"/>
      <c r="J45" s="304" t="s">
        <v>41</v>
      </c>
      <c r="K45" s="305"/>
      <c r="L45" s="305"/>
      <c r="M45" s="306"/>
    </row>
    <row r="46" spans="1:13" ht="36">
      <c r="A46" s="18" t="s">
        <v>9</v>
      </c>
      <c r="B46" s="13" t="s">
        <v>8</v>
      </c>
      <c r="C46" s="60" t="s">
        <v>37</v>
      </c>
      <c r="D46" s="32"/>
      <c r="E46" s="28" t="s">
        <v>4</v>
      </c>
      <c r="F46" s="14" t="s">
        <v>5</v>
      </c>
      <c r="G46" s="14" t="s">
        <v>6</v>
      </c>
      <c r="H46" s="15" t="s">
        <v>7</v>
      </c>
      <c r="I46" s="32"/>
      <c r="J46" s="28" t="s">
        <v>4</v>
      </c>
      <c r="K46" s="14" t="s">
        <v>5</v>
      </c>
      <c r="L46" s="14" t="s">
        <v>6</v>
      </c>
      <c r="M46" s="53" t="s">
        <v>7</v>
      </c>
    </row>
    <row r="47" spans="1:13" ht="12.75">
      <c r="A47" s="4" t="s">
        <v>10</v>
      </c>
      <c r="B47" s="47">
        <v>200.05625406835097</v>
      </c>
      <c r="C47" s="48">
        <v>63.06369515155288</v>
      </c>
      <c r="D47" s="50"/>
      <c r="E47" s="48">
        <v>52.0746951515529</v>
      </c>
      <c r="F47" s="48">
        <v>69.34195411440223</v>
      </c>
      <c r="G47" s="48">
        <v>77.47359811440217</v>
      </c>
      <c r="H47" s="48">
        <v>93.81361053616828</v>
      </c>
      <c r="I47" s="50"/>
      <c r="J47" s="48">
        <f aca="true" t="shared" si="4" ref="J47:M49">E47-$C47</f>
        <v>-10.988999999999976</v>
      </c>
      <c r="K47" s="48">
        <f t="shared" si="4"/>
        <v>6.27825896284935</v>
      </c>
      <c r="L47" s="48">
        <f t="shared" si="4"/>
        <v>14.409902962849287</v>
      </c>
      <c r="M47" s="54">
        <f t="shared" si="4"/>
        <v>30.749915384615406</v>
      </c>
    </row>
    <row r="48" spans="1:13" ht="12.75">
      <c r="A48" s="4" t="s">
        <v>11</v>
      </c>
      <c r="B48" s="47">
        <v>229.30359875081356</v>
      </c>
      <c r="C48" s="48">
        <v>202.84945463101147</v>
      </c>
      <c r="D48" s="50"/>
      <c r="E48" s="48">
        <v>171.19045463101145</v>
      </c>
      <c r="F48" s="48">
        <v>186.5105700156269</v>
      </c>
      <c r="G48" s="48">
        <v>183.28419001562685</v>
      </c>
      <c r="H48" s="48">
        <v>175.0547334006269</v>
      </c>
      <c r="I48" s="50"/>
      <c r="J48" s="48">
        <f t="shared" si="4"/>
        <v>-31.65900000000002</v>
      </c>
      <c r="K48" s="48">
        <f t="shared" si="4"/>
        <v>-16.338884615384558</v>
      </c>
      <c r="L48" s="48">
        <f t="shared" si="4"/>
        <v>-19.56526461538462</v>
      </c>
      <c r="M48" s="54">
        <f t="shared" si="4"/>
        <v>-27.794721230384567</v>
      </c>
    </row>
    <row r="49" spans="1:13" ht="12.75">
      <c r="A49" s="4" t="s">
        <v>14</v>
      </c>
      <c r="B49" s="307">
        <v>200.05625406835097</v>
      </c>
      <c r="C49" s="307">
        <v>100.30624859037786</v>
      </c>
      <c r="D49" s="51"/>
      <c r="E49" s="48">
        <v>95.81724859037789</v>
      </c>
      <c r="F49" s="48">
        <v>120.68816717221566</v>
      </c>
      <c r="G49" s="48">
        <v>128.8198111722157</v>
      </c>
      <c r="H49" s="48">
        <v>137.55616397499327</v>
      </c>
      <c r="I49" s="51"/>
      <c r="J49" s="48">
        <f t="shared" si="4"/>
        <v>-4.488999999999976</v>
      </c>
      <c r="K49" s="48">
        <f t="shared" si="4"/>
        <v>20.381918581837795</v>
      </c>
      <c r="L49" s="48">
        <f t="shared" si="4"/>
        <v>28.513562581837846</v>
      </c>
      <c r="M49" s="54">
        <f t="shared" si="4"/>
        <v>37.249915384615406</v>
      </c>
    </row>
    <row r="50" spans="1:13" ht="12.75">
      <c r="A50" s="4" t="s">
        <v>15</v>
      </c>
      <c r="B50" s="307"/>
      <c r="C50" s="307"/>
      <c r="D50" s="52"/>
      <c r="E50" s="48">
        <v>84.82824859037788</v>
      </c>
      <c r="F50" s="48">
        <v>116.44936397499322</v>
      </c>
      <c r="G50" s="48">
        <v>149.93260397499324</v>
      </c>
      <c r="H50" s="48">
        <v>189.25496397499325</v>
      </c>
      <c r="I50" s="52"/>
      <c r="J50" s="48">
        <f>E50-$C49</f>
        <v>-15.47799999999998</v>
      </c>
      <c r="K50" s="48">
        <f>F50-$C49</f>
        <v>16.143115384615356</v>
      </c>
      <c r="L50" s="48">
        <f>G50-$C49</f>
        <v>49.62635538461538</v>
      </c>
      <c r="M50" s="54">
        <f>H50-$C49</f>
        <v>88.94871538461538</v>
      </c>
    </row>
    <row r="51" spans="1:13" ht="12.75">
      <c r="A51" s="4" t="s">
        <v>16</v>
      </c>
      <c r="B51" s="307">
        <v>229.30359875081356</v>
      </c>
      <c r="C51" s="309">
        <v>240.0920080698365</v>
      </c>
      <c r="D51" s="33"/>
      <c r="E51" s="48">
        <v>245.3530080698365</v>
      </c>
      <c r="F51" s="48">
        <v>271.5806138654108</v>
      </c>
      <c r="G51" s="48">
        <v>278.1681725599892</v>
      </c>
      <c r="H51" s="48">
        <v>291.3508961377355</v>
      </c>
      <c r="I51" s="33"/>
      <c r="J51" s="48">
        <f>E51-$C51</f>
        <v>5.260999999999996</v>
      </c>
      <c r="K51" s="48">
        <f>F51-$C51</f>
        <v>31.488605795574273</v>
      </c>
      <c r="L51" s="48">
        <f>G51-$C51</f>
        <v>38.076164490152706</v>
      </c>
      <c r="M51" s="54">
        <f>H51-$C51</f>
        <v>51.258888067898994</v>
      </c>
    </row>
    <row r="52" spans="1:13" ht="12.75">
      <c r="A52" s="4" t="s">
        <v>17</v>
      </c>
      <c r="B52" s="307">
        <v>229.30359875081356</v>
      </c>
      <c r="C52" s="309"/>
      <c r="D52" s="33"/>
      <c r="E52" s="48">
        <v>184.44400806983646</v>
      </c>
      <c r="F52" s="48">
        <v>226.0491234544519</v>
      </c>
      <c r="G52" s="48">
        <v>239.5643634544519</v>
      </c>
      <c r="H52" s="48">
        <v>250.9960868394519</v>
      </c>
      <c r="I52" s="33"/>
      <c r="J52" s="48">
        <f>E52-$C51</f>
        <v>-55.64800000000005</v>
      </c>
      <c r="K52" s="48">
        <f>F52-$C51</f>
        <v>-14.042884615384622</v>
      </c>
      <c r="L52" s="48">
        <f>G52-$C51</f>
        <v>-0.5276446153846166</v>
      </c>
      <c r="M52" s="54">
        <f>H52-$C51</f>
        <v>10.904078769615381</v>
      </c>
    </row>
    <row r="53" spans="1:13" ht="12.75">
      <c r="A53" s="4" t="s">
        <v>18</v>
      </c>
      <c r="B53" s="307">
        <v>265.8999350974548</v>
      </c>
      <c r="C53" s="309"/>
      <c r="D53" s="33"/>
      <c r="E53" s="48">
        <v>229.1308341333144</v>
      </c>
      <c r="F53" s="48">
        <v>271.5842775187695</v>
      </c>
      <c r="G53" s="48">
        <v>278.17183621334806</v>
      </c>
      <c r="H53" s="48">
        <v>291.35455979109423</v>
      </c>
      <c r="I53" s="33"/>
      <c r="J53" s="48">
        <f>E53-$C51</f>
        <v>-10.961173936522101</v>
      </c>
      <c r="K53" s="48">
        <f>F53-$C51</f>
        <v>31.492269448933</v>
      </c>
      <c r="L53" s="48">
        <f>G53-$C51</f>
        <v>38.07982814351155</v>
      </c>
      <c r="M53" s="54">
        <f>H53-$C51</f>
        <v>51.26255172125772</v>
      </c>
    </row>
    <row r="54" spans="1:13" ht="12.75">
      <c r="A54" s="4" t="s">
        <v>19</v>
      </c>
      <c r="B54" s="307">
        <v>265.8999350974548</v>
      </c>
      <c r="C54" s="309"/>
      <c r="D54" s="33"/>
      <c r="E54" s="48">
        <v>184.4476717231953</v>
      </c>
      <c r="F54" s="48">
        <v>226.05278710781062</v>
      </c>
      <c r="G54" s="48">
        <v>239.56802710781074</v>
      </c>
      <c r="H54" s="48">
        <v>250.99975049281056</v>
      </c>
      <c r="I54" s="33"/>
      <c r="J54" s="48">
        <f>E54-$C51</f>
        <v>-55.64433634664121</v>
      </c>
      <c r="K54" s="48">
        <f>F54-$C51</f>
        <v>-14.039220962025894</v>
      </c>
      <c r="L54" s="48">
        <f>G54-$C51</f>
        <v>-0.5239809620257745</v>
      </c>
      <c r="M54" s="56">
        <f>H54-$C51</f>
        <v>10.907742422974053</v>
      </c>
    </row>
    <row r="55" spans="1:13" ht="36">
      <c r="A55" s="18" t="s">
        <v>25</v>
      </c>
      <c r="B55" s="13" t="s">
        <v>8</v>
      </c>
      <c r="C55" s="60" t="s">
        <v>37</v>
      </c>
      <c r="D55" s="32"/>
      <c r="E55" s="28" t="s">
        <v>4</v>
      </c>
      <c r="F55" s="14" t="s">
        <v>5</v>
      </c>
      <c r="G55" s="14" t="s">
        <v>6</v>
      </c>
      <c r="H55" s="15" t="s">
        <v>7</v>
      </c>
      <c r="I55" s="32"/>
      <c r="J55" s="28" t="s">
        <v>4</v>
      </c>
      <c r="K55" s="14" t="s">
        <v>5</v>
      </c>
      <c r="L55" s="14" t="s">
        <v>6</v>
      </c>
      <c r="M55" s="55" t="s">
        <v>7</v>
      </c>
    </row>
    <row r="56" spans="1:13" ht="12.75">
      <c r="A56" s="4" t="s">
        <v>10</v>
      </c>
      <c r="B56" s="47">
        <v>127.2225586275902</v>
      </c>
      <c r="C56" s="48">
        <v>63.07100597692903</v>
      </c>
      <c r="D56" s="50"/>
      <c r="E56" s="48">
        <v>62.082005976929054</v>
      </c>
      <c r="F56" s="48">
        <v>79.35001794293953</v>
      </c>
      <c r="G56" s="48">
        <v>87.48166194293955</v>
      </c>
      <c r="H56" s="48">
        <v>104.09576751539055</v>
      </c>
      <c r="I56" s="50"/>
      <c r="J56" s="48">
        <f aca="true" t="shared" si="5" ref="J56:M58">E56-$C56</f>
        <v>-0.9889999999999759</v>
      </c>
      <c r="K56" s="48">
        <f t="shared" si="5"/>
        <v>16.2790119660105</v>
      </c>
      <c r="L56" s="48">
        <f t="shared" si="5"/>
        <v>24.410655966010523</v>
      </c>
      <c r="M56" s="54">
        <f t="shared" si="5"/>
        <v>41.02476153846152</v>
      </c>
    </row>
    <row r="57" spans="1:13" ht="12.75">
      <c r="A57" s="4" t="s">
        <v>11</v>
      </c>
      <c r="B57" s="47">
        <v>146.7261021760684</v>
      </c>
      <c r="C57" s="48">
        <v>202.87056659037202</v>
      </c>
      <c r="D57" s="50"/>
      <c r="E57" s="48">
        <v>191.29156659037204</v>
      </c>
      <c r="F57" s="48">
        <v>204.8705281288336</v>
      </c>
      <c r="G57" s="48">
        <v>205.67614812883352</v>
      </c>
      <c r="H57" s="48">
        <v>203.42532812883366</v>
      </c>
      <c r="I57" s="50"/>
      <c r="J57" s="48">
        <f t="shared" si="5"/>
        <v>-11.57899999999998</v>
      </c>
      <c r="K57" s="48">
        <f t="shared" si="5"/>
        <v>1.9999615384615765</v>
      </c>
      <c r="L57" s="48">
        <f t="shared" si="5"/>
        <v>2.805581538461496</v>
      </c>
      <c r="M57" s="54">
        <f t="shared" si="5"/>
        <v>0.5547615384616336</v>
      </c>
    </row>
    <row r="58" spans="1:13" ht="12.75">
      <c r="A58" s="4" t="s">
        <v>14</v>
      </c>
      <c r="B58" s="307">
        <v>127.2225586275902</v>
      </c>
      <c r="C58" s="307">
        <v>100.31355941575404</v>
      </c>
      <c r="D58" s="51"/>
      <c r="E58" s="48">
        <v>105.82455941575404</v>
      </c>
      <c r="F58" s="48">
        <v>130.69623100075307</v>
      </c>
      <c r="G58" s="48">
        <v>138.82787500075307</v>
      </c>
      <c r="H58" s="48">
        <v>147.8383209542156</v>
      </c>
      <c r="I58" s="51"/>
      <c r="J58" s="48">
        <f t="shared" si="5"/>
        <v>5.510999999999996</v>
      </c>
      <c r="K58" s="48">
        <f t="shared" si="5"/>
        <v>30.38267158499903</v>
      </c>
      <c r="L58" s="48">
        <f t="shared" si="5"/>
        <v>38.514315584999025</v>
      </c>
      <c r="M58" s="54">
        <f t="shared" si="5"/>
        <v>47.52476153846155</v>
      </c>
    </row>
    <row r="59" spans="1:13" ht="12.75">
      <c r="A59" s="4" t="s">
        <v>15</v>
      </c>
      <c r="B59" s="307">
        <v>127.2225586275902</v>
      </c>
      <c r="C59" s="307"/>
      <c r="D59" s="52"/>
      <c r="E59" s="48">
        <v>104.83555941575406</v>
      </c>
      <c r="F59" s="48">
        <v>136.73152095421563</v>
      </c>
      <c r="G59" s="48">
        <v>170.2147609542156</v>
      </c>
      <c r="H59" s="48">
        <v>264.61267214164053</v>
      </c>
      <c r="I59" s="52"/>
      <c r="J59" s="48">
        <f>E59-$C58</f>
        <v>4.52200000000002</v>
      </c>
      <c r="K59" s="48">
        <f>F59-$C58</f>
        <v>36.41796153846158</v>
      </c>
      <c r="L59" s="48">
        <f>G59-$C58</f>
        <v>69.90120153846155</v>
      </c>
      <c r="M59" s="54">
        <f>H59-$C58</f>
        <v>164.2991127258865</v>
      </c>
    </row>
    <row r="60" spans="1:13" ht="12.75">
      <c r="A60" s="57" t="s">
        <v>16</v>
      </c>
      <c r="B60" s="307">
        <v>146.7261021760684</v>
      </c>
      <c r="C60" s="309">
        <v>240.11312002919706</v>
      </c>
      <c r="D60" s="33"/>
      <c r="E60" s="48">
        <v>255.3741200291971</v>
      </c>
      <c r="F60" s="48">
        <v>281.6024788279326</v>
      </c>
      <c r="G60" s="48">
        <v>288.19003752251103</v>
      </c>
      <c r="H60" s="48">
        <v>301.3727611002572</v>
      </c>
      <c r="I60" s="33"/>
      <c r="J60" s="48">
        <f>E60-$C60</f>
        <v>15.261000000000024</v>
      </c>
      <c r="K60" s="48">
        <f>F60-$C60</f>
        <v>41.48935879873554</v>
      </c>
      <c r="L60" s="48">
        <f>G60-$C60</f>
        <v>48.07691749331397</v>
      </c>
      <c r="M60" s="54">
        <f>H60-$C60</f>
        <v>61.259641071060145</v>
      </c>
    </row>
    <row r="61" spans="1:13" ht="12.75">
      <c r="A61" s="57" t="s">
        <v>17</v>
      </c>
      <c r="B61" s="307">
        <v>146.7261021760684</v>
      </c>
      <c r="C61" s="309"/>
      <c r="D61" s="33"/>
      <c r="E61" s="48">
        <v>214.5451200291971</v>
      </c>
      <c r="F61" s="48">
        <v>254.40908156765857</v>
      </c>
      <c r="G61" s="48">
        <v>271.95632156765856</v>
      </c>
      <c r="H61" s="48">
        <v>289.36668156765865</v>
      </c>
      <c r="I61" s="33"/>
      <c r="J61" s="48">
        <f>E61-$C60</f>
        <v>-25.567999999999955</v>
      </c>
      <c r="K61" s="48">
        <f>F61-$C60</f>
        <v>14.295961538461512</v>
      </c>
      <c r="L61" s="48">
        <f>G61-$C60</f>
        <v>31.8432015384615</v>
      </c>
      <c r="M61" s="54">
        <f>H61-$C60</f>
        <v>49.25356153846158</v>
      </c>
    </row>
    <row r="62" spans="1:13" ht="12.75">
      <c r="A62" s="57" t="s">
        <v>18</v>
      </c>
      <c r="B62" s="307">
        <v>164.5548639965686</v>
      </c>
      <c r="C62" s="309"/>
      <c r="D62" s="33"/>
      <c r="E62" s="48">
        <v>255.36535820869688</v>
      </c>
      <c r="F62" s="48">
        <v>281.59371700743236</v>
      </c>
      <c r="G62" s="48">
        <v>288.18127570201085</v>
      </c>
      <c r="H62" s="48">
        <v>301.3639992797571</v>
      </c>
      <c r="I62" s="33"/>
      <c r="J62" s="48">
        <f>E62-$C60</f>
        <v>15.252238179499813</v>
      </c>
      <c r="K62" s="48">
        <f>F62-$C60</f>
        <v>41.4805969782353</v>
      </c>
      <c r="L62" s="48">
        <f>G62-$C60</f>
        <v>48.06815567281379</v>
      </c>
      <c r="M62" s="54">
        <f>H62-$C60</f>
        <v>61.25087925056002</v>
      </c>
    </row>
    <row r="63" spans="1:13" ht="12.75">
      <c r="A63" s="58" t="s">
        <v>19</v>
      </c>
      <c r="B63" s="308">
        <v>164.5548639965686</v>
      </c>
      <c r="C63" s="300"/>
      <c r="D63" s="33"/>
      <c r="E63" s="59">
        <v>214.53635820869687</v>
      </c>
      <c r="F63" s="59">
        <v>254.4003197471584</v>
      </c>
      <c r="G63" s="59">
        <v>271.9475597471584</v>
      </c>
      <c r="H63" s="59">
        <v>289.35791974715835</v>
      </c>
      <c r="I63" s="33"/>
      <c r="J63" s="59">
        <f>E63-$C60</f>
        <v>-25.576761820500195</v>
      </c>
      <c r="K63" s="59">
        <f>F63-$C60</f>
        <v>14.287199717961329</v>
      </c>
      <c r="L63" s="59">
        <f>G63-$C60</f>
        <v>31.834439717961317</v>
      </c>
      <c r="M63" s="56">
        <f>H63-$C60</f>
        <v>49.244799717961286</v>
      </c>
    </row>
    <row r="65" spans="1:13" ht="33.75" customHeight="1">
      <c r="A65" s="31"/>
      <c r="B65" s="20"/>
      <c r="C65" s="20"/>
      <c r="D65" s="20"/>
      <c r="E65" s="304" t="s">
        <v>40</v>
      </c>
      <c r="F65" s="305"/>
      <c r="G65" s="305"/>
      <c r="H65" s="306"/>
      <c r="I65" s="20"/>
      <c r="J65" s="304" t="s">
        <v>41</v>
      </c>
      <c r="K65" s="305"/>
      <c r="L65" s="305"/>
      <c r="M65" s="306"/>
    </row>
    <row r="66" spans="1:13" ht="36">
      <c r="A66" s="18" t="s">
        <v>9</v>
      </c>
      <c r="B66" s="13" t="s">
        <v>8</v>
      </c>
      <c r="C66" s="60" t="s">
        <v>37</v>
      </c>
      <c r="D66" s="32"/>
      <c r="E66" s="28" t="s">
        <v>4</v>
      </c>
      <c r="F66" s="14" t="s">
        <v>5</v>
      </c>
      <c r="G66" s="14" t="s">
        <v>6</v>
      </c>
      <c r="H66" s="15" t="s">
        <v>7</v>
      </c>
      <c r="I66" s="32"/>
      <c r="J66" s="28" t="s">
        <v>4</v>
      </c>
      <c r="K66" s="14" t="s">
        <v>5</v>
      </c>
      <c r="L66" s="14" t="s">
        <v>6</v>
      </c>
      <c r="M66" s="53" t="s">
        <v>7</v>
      </c>
    </row>
    <row r="67" spans="1:13" ht="12.75">
      <c r="A67" s="4" t="s">
        <v>10</v>
      </c>
      <c r="B67" s="47">
        <v>200.05625406835097</v>
      </c>
      <c r="C67" s="48">
        <v>63.06369515155288</v>
      </c>
      <c r="D67" s="50"/>
      <c r="E67" s="48">
        <v>50.898695151552914</v>
      </c>
      <c r="F67" s="48">
        <v>67.8187541144022</v>
      </c>
      <c r="G67" s="48">
        <v>75.9199341144022</v>
      </c>
      <c r="H67" s="48">
        <v>89.14881053616827</v>
      </c>
      <c r="I67" s="50"/>
      <c r="J67" s="48">
        <f aca="true" t="shared" si="6" ref="J67:M69">E67-$C67</f>
        <v>-12.164999999999964</v>
      </c>
      <c r="K67" s="48">
        <f t="shared" si="6"/>
        <v>4.7550589628493185</v>
      </c>
      <c r="L67" s="48">
        <f t="shared" si="6"/>
        <v>12.856238962849318</v>
      </c>
      <c r="M67" s="54">
        <f t="shared" si="6"/>
        <v>26.085115384615392</v>
      </c>
    </row>
    <row r="68" spans="1:13" ht="12.75">
      <c r="A68" s="4" t="s">
        <v>11</v>
      </c>
      <c r="B68" s="47">
        <v>229.30359875081356</v>
      </c>
      <c r="C68" s="48">
        <v>202.84945463101147</v>
      </c>
      <c r="D68" s="50"/>
      <c r="E68" s="48">
        <v>167.86945463101142</v>
      </c>
      <c r="F68" s="48">
        <v>183.37457001562683</v>
      </c>
      <c r="G68" s="48">
        <v>180.08547001562687</v>
      </c>
      <c r="H68" s="48">
        <v>170.3899334006269</v>
      </c>
      <c r="I68" s="50"/>
      <c r="J68" s="48">
        <f t="shared" si="6"/>
        <v>-34.98000000000005</v>
      </c>
      <c r="K68" s="48">
        <f t="shared" si="6"/>
        <v>-19.47488461538464</v>
      </c>
      <c r="L68" s="48">
        <f t="shared" si="6"/>
        <v>-22.7639846153846</v>
      </c>
      <c r="M68" s="54">
        <f t="shared" si="6"/>
        <v>-32.45952123038458</v>
      </c>
    </row>
    <row r="69" spans="1:13" ht="12.75">
      <c r="A69" s="4" t="s">
        <v>14</v>
      </c>
      <c r="B69" s="307">
        <v>200.05625406835097</v>
      </c>
      <c r="C69" s="307">
        <v>100.30624859037786</v>
      </c>
      <c r="D69" s="51"/>
      <c r="E69" s="48">
        <v>94.6412485903779</v>
      </c>
      <c r="F69" s="48">
        <v>118.90885438595214</v>
      </c>
      <c r="G69" s="48">
        <v>127.26614717221568</v>
      </c>
      <c r="H69" s="48">
        <v>133.03300679978682</v>
      </c>
      <c r="I69" s="51"/>
      <c r="J69" s="48">
        <f t="shared" si="6"/>
        <v>-5.664999999999964</v>
      </c>
      <c r="K69" s="48">
        <f t="shared" si="6"/>
        <v>18.602605795574277</v>
      </c>
      <c r="L69" s="48">
        <f t="shared" si="6"/>
        <v>26.95989858183782</v>
      </c>
      <c r="M69" s="54">
        <f t="shared" si="6"/>
        <v>32.726758209408956</v>
      </c>
    </row>
    <row r="70" spans="1:13" ht="12.75">
      <c r="A70" s="4" t="s">
        <v>15</v>
      </c>
      <c r="B70" s="307"/>
      <c r="C70" s="307"/>
      <c r="D70" s="52"/>
      <c r="E70" s="48">
        <v>82.47624859037785</v>
      </c>
      <c r="F70" s="48">
        <v>111.30896717221566</v>
      </c>
      <c r="G70" s="48">
        <v>143.53516397499322</v>
      </c>
      <c r="H70" s="48">
        <v>179.92536397499322</v>
      </c>
      <c r="I70" s="52"/>
      <c r="J70" s="48">
        <f>E70-$C69</f>
        <v>-17.830000000000013</v>
      </c>
      <c r="K70" s="48">
        <f>F70-$C69</f>
        <v>11.002718581837797</v>
      </c>
      <c r="L70" s="48">
        <f>G70-$C69</f>
        <v>43.22891538461536</v>
      </c>
      <c r="M70" s="54">
        <f>H70-$C69</f>
        <v>79.61911538461536</v>
      </c>
    </row>
    <row r="71" spans="1:13" ht="12.75">
      <c r="A71" s="4" t="s">
        <v>16</v>
      </c>
      <c r="B71" s="307">
        <v>229.30359875081356</v>
      </c>
      <c r="C71" s="309">
        <v>240.0920080698365</v>
      </c>
      <c r="D71" s="33"/>
      <c r="E71" s="48">
        <v>244.17700806983646</v>
      </c>
      <c r="F71" s="48">
        <v>268.4446138654108</v>
      </c>
      <c r="G71" s="48">
        <v>275.62263655998925</v>
      </c>
      <c r="H71" s="48">
        <v>287.63865613773544</v>
      </c>
      <c r="I71" s="33"/>
      <c r="J71" s="48">
        <f>E71-$C71</f>
        <v>4.084999999999951</v>
      </c>
      <c r="K71" s="48">
        <f>F71-$C71</f>
        <v>28.352605795574306</v>
      </c>
      <c r="L71" s="48">
        <f>G71-$C71</f>
        <v>35.530628490152736</v>
      </c>
      <c r="M71" s="54">
        <f>H71-$C71</f>
        <v>47.54664806789893</v>
      </c>
    </row>
    <row r="72" spans="1:13" ht="12.75">
      <c r="A72" s="4" t="s">
        <v>17</v>
      </c>
      <c r="B72" s="307">
        <v>229.30359875081356</v>
      </c>
      <c r="C72" s="309"/>
      <c r="D72" s="33"/>
      <c r="E72" s="48">
        <v>182.09200806983648</v>
      </c>
      <c r="F72" s="48">
        <v>219.77712345445184</v>
      </c>
      <c r="G72" s="48">
        <v>233.16692345445193</v>
      </c>
      <c r="H72" s="48">
        <v>241.66648683945186</v>
      </c>
      <c r="I72" s="33"/>
      <c r="J72" s="48">
        <f>E72-$C71</f>
        <v>-58.00000000000003</v>
      </c>
      <c r="K72" s="48">
        <f>F72-$C71</f>
        <v>-20.31488461538467</v>
      </c>
      <c r="L72" s="48">
        <f>G72-$C71</f>
        <v>-6.925084615384577</v>
      </c>
      <c r="M72" s="54">
        <f>H72-$C71</f>
        <v>1.5744787696153537</v>
      </c>
    </row>
    <row r="73" spans="1:13" ht="12.75">
      <c r="A73" s="4" t="s">
        <v>18</v>
      </c>
      <c r="B73" s="307">
        <v>265.8999350974548</v>
      </c>
      <c r="C73" s="309"/>
      <c r="D73" s="33"/>
      <c r="E73" s="48">
        <v>225.7708341333144</v>
      </c>
      <c r="F73" s="48">
        <v>268.44827751876954</v>
      </c>
      <c r="G73" s="48">
        <v>275.6263002133481</v>
      </c>
      <c r="H73" s="48">
        <v>287.64231979109417</v>
      </c>
      <c r="I73" s="33"/>
      <c r="J73" s="48">
        <f>E73-$C71</f>
        <v>-14.321173936522115</v>
      </c>
      <c r="K73" s="48">
        <f>F73-$C71</f>
        <v>28.356269448933034</v>
      </c>
      <c r="L73" s="48">
        <f>G73-$C71</f>
        <v>35.53429214351158</v>
      </c>
      <c r="M73" s="54">
        <f>H73-$C71</f>
        <v>47.55031172125766</v>
      </c>
    </row>
    <row r="74" spans="1:13" ht="12.75">
      <c r="A74" s="4" t="s">
        <v>19</v>
      </c>
      <c r="B74" s="307">
        <v>265.8999350974548</v>
      </c>
      <c r="C74" s="309"/>
      <c r="D74" s="33"/>
      <c r="E74" s="48">
        <v>182.0956717231952</v>
      </c>
      <c r="F74" s="48">
        <v>219.78078710781057</v>
      </c>
      <c r="G74" s="48">
        <v>233.17058710781066</v>
      </c>
      <c r="H74" s="48">
        <v>241.67015049281054</v>
      </c>
      <c r="I74" s="33"/>
      <c r="J74" s="48">
        <f>E74-$C71</f>
        <v>-57.9963363466413</v>
      </c>
      <c r="K74" s="48">
        <f>F74-$C71</f>
        <v>-20.311220962025942</v>
      </c>
      <c r="L74" s="48">
        <f>G74-$C71</f>
        <v>-6.921420962025849</v>
      </c>
      <c r="M74" s="56">
        <f>H74-$C71</f>
        <v>1.5781424229740253</v>
      </c>
    </row>
    <row r="75" spans="1:13" ht="36">
      <c r="A75" s="18" t="s">
        <v>25</v>
      </c>
      <c r="B75" s="13" t="s">
        <v>8</v>
      </c>
      <c r="C75" s="60" t="s">
        <v>37</v>
      </c>
      <c r="D75" s="32"/>
      <c r="E75" s="28" t="s">
        <v>4</v>
      </c>
      <c r="F75" s="14" t="s">
        <v>5</v>
      </c>
      <c r="G75" s="14" t="s">
        <v>6</v>
      </c>
      <c r="H75" s="15" t="s">
        <v>7</v>
      </c>
      <c r="I75" s="32"/>
      <c r="J75" s="28" t="s">
        <v>4</v>
      </c>
      <c r="K75" s="14" t="s">
        <v>5</v>
      </c>
      <c r="L75" s="14" t="s">
        <v>6</v>
      </c>
      <c r="M75" s="55" t="s">
        <v>7</v>
      </c>
    </row>
    <row r="76" spans="1:13" ht="12.75">
      <c r="A76" s="4" t="s">
        <v>10</v>
      </c>
      <c r="B76" s="47">
        <v>127.2225586275902</v>
      </c>
      <c r="C76" s="48">
        <v>63.07100597692903</v>
      </c>
      <c r="D76" s="50"/>
      <c r="E76" s="48">
        <v>60.906005976929066</v>
      </c>
      <c r="F76" s="48">
        <v>77.82681794293956</v>
      </c>
      <c r="G76" s="48">
        <v>85.92799794293956</v>
      </c>
      <c r="H76" s="48">
        <v>99.43096751539053</v>
      </c>
      <c r="I76" s="50"/>
      <c r="J76" s="48">
        <f aca="true" t="shared" si="7" ref="J76:M78">E76-$C76</f>
        <v>-2.1649999999999636</v>
      </c>
      <c r="K76" s="48">
        <f t="shared" si="7"/>
        <v>14.755811966010526</v>
      </c>
      <c r="L76" s="48">
        <f t="shared" si="7"/>
        <v>22.856991966010526</v>
      </c>
      <c r="M76" s="54">
        <f t="shared" si="7"/>
        <v>36.359961538461505</v>
      </c>
    </row>
    <row r="77" spans="1:13" ht="12.75">
      <c r="A77" s="4" t="s">
        <v>11</v>
      </c>
      <c r="B77" s="47">
        <v>146.7261021760684</v>
      </c>
      <c r="C77" s="48">
        <v>202.87056659037202</v>
      </c>
      <c r="D77" s="50"/>
      <c r="E77" s="48">
        <v>187.97056659037202</v>
      </c>
      <c r="F77" s="48">
        <v>201.73452812883357</v>
      </c>
      <c r="G77" s="48">
        <v>202.47742812883354</v>
      </c>
      <c r="H77" s="48">
        <v>198.76052812883364</v>
      </c>
      <c r="I77" s="50"/>
      <c r="J77" s="48">
        <f t="shared" si="7"/>
        <v>-14.900000000000006</v>
      </c>
      <c r="K77" s="48">
        <f t="shared" si="7"/>
        <v>-1.1360384615384476</v>
      </c>
      <c r="L77" s="48">
        <f t="shared" si="7"/>
        <v>-0.3931384615384843</v>
      </c>
      <c r="M77" s="54">
        <f t="shared" si="7"/>
        <v>-4.11003846153838</v>
      </c>
    </row>
    <row r="78" spans="1:13" ht="12.75">
      <c r="A78" s="4" t="s">
        <v>14</v>
      </c>
      <c r="B78" s="307">
        <v>127.2225586275902</v>
      </c>
      <c r="C78" s="307">
        <v>100.31355941575404</v>
      </c>
      <c r="D78" s="51"/>
      <c r="E78" s="48">
        <v>104.64855941575405</v>
      </c>
      <c r="F78" s="48">
        <v>128.91691821448956</v>
      </c>
      <c r="G78" s="48">
        <v>137.2742110007531</v>
      </c>
      <c r="H78" s="48">
        <v>143.17352095421558</v>
      </c>
      <c r="I78" s="51"/>
      <c r="J78" s="48">
        <f t="shared" si="7"/>
        <v>4.335000000000008</v>
      </c>
      <c r="K78" s="48">
        <f t="shared" si="7"/>
        <v>28.603358798735513</v>
      </c>
      <c r="L78" s="48">
        <f t="shared" si="7"/>
        <v>36.960651584999056</v>
      </c>
      <c r="M78" s="54">
        <f t="shared" si="7"/>
        <v>42.85996153846153</v>
      </c>
    </row>
    <row r="79" spans="1:13" ht="12.75">
      <c r="A79" s="4" t="s">
        <v>15</v>
      </c>
      <c r="B79" s="307">
        <v>127.2225586275902</v>
      </c>
      <c r="C79" s="307"/>
      <c r="D79" s="52"/>
      <c r="E79" s="48">
        <v>102.48355941575403</v>
      </c>
      <c r="F79" s="48">
        <v>131.3170310007531</v>
      </c>
      <c r="G79" s="48">
        <v>163.81732095421557</v>
      </c>
      <c r="H79" s="48">
        <v>237.95667214164058</v>
      </c>
      <c r="I79" s="52"/>
      <c r="J79" s="48">
        <f>E79-$C78</f>
        <v>2.1699999999999875</v>
      </c>
      <c r="K79" s="48">
        <f>F79-$C78</f>
        <v>31.003471584999062</v>
      </c>
      <c r="L79" s="48">
        <f>G79-$C78</f>
        <v>63.50376153846153</v>
      </c>
      <c r="M79" s="54">
        <f>H79-$C78</f>
        <v>137.64311272588654</v>
      </c>
    </row>
    <row r="80" spans="1:13" ht="12.75">
      <c r="A80" s="57" t="s">
        <v>16</v>
      </c>
      <c r="B80" s="307">
        <v>146.7261021760684</v>
      </c>
      <c r="C80" s="309">
        <v>240.11312002919706</v>
      </c>
      <c r="D80" s="33"/>
      <c r="E80" s="48">
        <v>254.19812002919704</v>
      </c>
      <c r="F80" s="48">
        <v>278.4664788279325</v>
      </c>
      <c r="G80" s="48">
        <v>285.64450152251106</v>
      </c>
      <c r="H80" s="48">
        <v>297.66052110025726</v>
      </c>
      <c r="I80" s="33"/>
      <c r="J80" s="48">
        <f>E80-$C80</f>
        <v>14.08499999999998</v>
      </c>
      <c r="K80" s="48">
        <f>F80-$C80</f>
        <v>38.35335879873546</v>
      </c>
      <c r="L80" s="48">
        <f>G80-$C80</f>
        <v>45.531381493314</v>
      </c>
      <c r="M80" s="54">
        <f>H80-$C80</f>
        <v>57.54740107106019</v>
      </c>
    </row>
    <row r="81" spans="1:13" ht="12.75">
      <c r="A81" s="57" t="s">
        <v>17</v>
      </c>
      <c r="B81" s="307">
        <v>146.7261021760684</v>
      </c>
      <c r="C81" s="309"/>
      <c r="D81" s="33"/>
      <c r="E81" s="48">
        <v>212.19312002919702</v>
      </c>
      <c r="F81" s="48">
        <v>248.13708156765864</v>
      </c>
      <c r="G81" s="48">
        <v>265.5588815676586</v>
      </c>
      <c r="H81" s="48">
        <v>280.0370815676586</v>
      </c>
      <c r="I81" s="33"/>
      <c r="J81" s="48">
        <f>E81-$C80</f>
        <v>-27.920000000000044</v>
      </c>
      <c r="K81" s="48">
        <f>F81-$C80</f>
        <v>8.023961538461577</v>
      </c>
      <c r="L81" s="48">
        <f>G81-$C80</f>
        <v>25.44576153846154</v>
      </c>
      <c r="M81" s="54">
        <f>H81-$C80</f>
        <v>39.923961538461555</v>
      </c>
    </row>
    <row r="82" spans="1:13" ht="12.75">
      <c r="A82" s="57" t="s">
        <v>18</v>
      </c>
      <c r="B82" s="307">
        <v>164.5548639965686</v>
      </c>
      <c r="C82" s="309"/>
      <c r="D82" s="33"/>
      <c r="E82" s="48">
        <v>254.18935820869683</v>
      </c>
      <c r="F82" s="48">
        <v>278.4577170074324</v>
      </c>
      <c r="G82" s="48">
        <v>285.6357397020108</v>
      </c>
      <c r="H82" s="48">
        <v>297.651759279757</v>
      </c>
      <c r="I82" s="33"/>
      <c r="J82" s="48">
        <f>E82-$C80</f>
        <v>14.076238179499768</v>
      </c>
      <c r="K82" s="48">
        <f>F82-$C80</f>
        <v>38.34459697823533</v>
      </c>
      <c r="L82" s="48">
        <f>G82-$C80</f>
        <v>45.52261967281376</v>
      </c>
      <c r="M82" s="54">
        <f>H82-$C80</f>
        <v>57.53863925055995</v>
      </c>
    </row>
    <row r="83" spans="1:13" ht="12.75">
      <c r="A83" s="58" t="s">
        <v>19</v>
      </c>
      <c r="B83" s="308">
        <v>164.5548639965686</v>
      </c>
      <c r="C83" s="300"/>
      <c r="D83" s="33"/>
      <c r="E83" s="59">
        <v>212.18435820869684</v>
      </c>
      <c r="F83" s="59">
        <v>248.12831974715834</v>
      </c>
      <c r="G83" s="59">
        <v>265.5501197471583</v>
      </c>
      <c r="H83" s="59">
        <v>280.0283197471583</v>
      </c>
      <c r="I83" s="33"/>
      <c r="J83" s="59">
        <f>E83-$C80</f>
        <v>-27.928761820500227</v>
      </c>
      <c r="K83" s="59">
        <f>F83-$C80</f>
        <v>8.01519971796128</v>
      </c>
      <c r="L83" s="59">
        <f>G83-$C80</f>
        <v>25.436999717961243</v>
      </c>
      <c r="M83" s="56">
        <f>H83-$C80</f>
        <v>39.91519971796126</v>
      </c>
    </row>
  </sheetData>
  <sheetProtection/>
  <mergeCells count="48">
    <mergeCell ref="B58:B59"/>
    <mergeCell ref="C40:C43"/>
    <mergeCell ref="B42:B43"/>
    <mergeCell ref="C51:C54"/>
    <mergeCell ref="B40:B41"/>
    <mergeCell ref="B51:B52"/>
    <mergeCell ref="B53:B54"/>
    <mergeCell ref="B49:B50"/>
    <mergeCell ref="B18:B19"/>
    <mergeCell ref="B20:B21"/>
    <mergeCell ref="C20:C23"/>
    <mergeCell ref="E5:H5"/>
    <mergeCell ref="B9:B10"/>
    <mergeCell ref="C9:C10"/>
    <mergeCell ref="C11:C14"/>
    <mergeCell ref="B11:B12"/>
    <mergeCell ref="B13:B14"/>
    <mergeCell ref="B22:B23"/>
    <mergeCell ref="J5:M5"/>
    <mergeCell ref="C78:C79"/>
    <mergeCell ref="J45:M45"/>
    <mergeCell ref="E65:H65"/>
    <mergeCell ref="J65:M65"/>
    <mergeCell ref="J25:M25"/>
    <mergeCell ref="C38:C39"/>
    <mergeCell ref="C18:C19"/>
    <mergeCell ref="C80:C83"/>
    <mergeCell ref="C69:C70"/>
    <mergeCell ref="C71:C74"/>
    <mergeCell ref="C29:C30"/>
    <mergeCell ref="C31:C34"/>
    <mergeCell ref="C49:C50"/>
    <mergeCell ref="B78:B79"/>
    <mergeCell ref="B80:B81"/>
    <mergeCell ref="B82:B83"/>
    <mergeCell ref="B69:B70"/>
    <mergeCell ref="B73:B74"/>
    <mergeCell ref="B71:B72"/>
    <mergeCell ref="B62:B63"/>
    <mergeCell ref="C58:C59"/>
    <mergeCell ref="E45:H45"/>
    <mergeCell ref="E25:H25"/>
    <mergeCell ref="B31:B32"/>
    <mergeCell ref="B38:B39"/>
    <mergeCell ref="B29:B30"/>
    <mergeCell ref="B33:B34"/>
    <mergeCell ref="C60:C63"/>
    <mergeCell ref="B60:B61"/>
  </mergeCells>
  <hyperlinks>
    <hyperlink ref="A1" location="Index!A1" display="Index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4"/>
  <sheetViews>
    <sheetView zoomScalePageLayoutView="0" workbookViewId="0" topLeftCell="A1">
      <selection activeCell="AU16" sqref="AU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3.28125" style="11" customWidth="1"/>
    <col min="10" max="10" width="12.7109375" style="11" customWidth="1"/>
    <col min="11" max="11" width="3.140625" style="12" customWidth="1"/>
    <col min="12" max="15" width="9.140625" style="12" customWidth="1"/>
    <col min="16" max="16" width="3.140625" style="12" customWidth="1"/>
    <col min="17" max="17" width="10.57421875" style="12" customWidth="1"/>
    <col min="18" max="18" width="3.28125" style="12" customWidth="1"/>
    <col min="19" max="20" width="9.140625" style="12" customWidth="1"/>
    <col min="21" max="21" width="3.00390625" style="12" customWidth="1"/>
    <col min="22" max="23" width="9.140625" style="12" customWidth="1"/>
    <col min="24" max="24" width="40.7109375" style="12" customWidth="1"/>
    <col min="25" max="25" width="9.140625" style="11" customWidth="1"/>
    <col min="26" max="26" width="10.57421875" style="11" customWidth="1"/>
    <col min="27" max="27" width="2.7109375" style="29" customWidth="1"/>
    <col min="28" max="31" width="9.140625" style="11" customWidth="1"/>
    <col min="32" max="32" width="3.28125" style="11" customWidth="1"/>
    <col min="33" max="33" width="12.7109375" style="11" customWidth="1"/>
    <col min="34" max="34" width="3.140625" style="12" customWidth="1"/>
    <col min="35" max="38" width="9.140625" style="12" customWidth="1"/>
    <col min="39" max="39" width="3.140625" style="12" customWidth="1"/>
    <col min="40" max="40" width="10.57421875" style="12" customWidth="1"/>
    <col min="41" max="41" width="3.28125" style="12" customWidth="1"/>
    <col min="42" max="43" width="9.140625" style="12" customWidth="1"/>
    <col min="44" max="44" width="3.00390625" style="12" customWidth="1"/>
    <col min="45" max="16384" width="9.140625" style="12" customWidth="1"/>
  </cols>
  <sheetData>
    <row r="1" spans="1:24" ht="18.75">
      <c r="A1" s="10" t="s">
        <v>30</v>
      </c>
      <c r="X1" s="10" t="s">
        <v>33</v>
      </c>
    </row>
    <row r="2" spans="1:24" ht="12.75">
      <c r="A2" s="31" t="s">
        <v>31</v>
      </c>
      <c r="X2" s="31" t="s">
        <v>31</v>
      </c>
    </row>
    <row r="3" spans="1:45" s="21" customFormat="1" ht="33.75" customHeight="1">
      <c r="A3" s="19"/>
      <c r="B3" s="20"/>
      <c r="C3" s="20"/>
      <c r="D3" s="20"/>
      <c r="E3" s="62" t="s">
        <v>0</v>
      </c>
      <c r="F3" s="62" t="s">
        <v>1</v>
      </c>
      <c r="G3" s="62" t="s">
        <v>2</v>
      </c>
      <c r="H3" s="62" t="s">
        <v>3</v>
      </c>
      <c r="I3" s="63"/>
      <c r="J3" s="62" t="str">
        <f>ChartTool!$D$3</f>
        <v>Minimum wage</v>
      </c>
      <c r="Q3" s="62" t="str">
        <f>ChartTool!$D$4</f>
        <v>Full-time - 35 hours</v>
      </c>
      <c r="S3" s="14" t="s">
        <v>49</v>
      </c>
      <c r="T3" s="14" t="s">
        <v>50</v>
      </c>
      <c r="V3" s="62" t="str">
        <f>ChartTool!$D$5</f>
        <v>Private rent</v>
      </c>
      <c r="X3" s="19"/>
      <c r="Y3" s="20"/>
      <c r="Z3" s="20"/>
      <c r="AA3" s="20"/>
      <c r="AB3" s="62" t="s">
        <v>0</v>
      </c>
      <c r="AC3" s="62" t="s">
        <v>1</v>
      </c>
      <c r="AD3" s="62" t="s">
        <v>2</v>
      </c>
      <c r="AE3" s="62" t="s">
        <v>3</v>
      </c>
      <c r="AF3" s="63"/>
      <c r="AG3" s="62" t="str">
        <f>ChartTool!$D$3</f>
        <v>Minimum wage</v>
      </c>
      <c r="AN3" s="62" t="str">
        <f>ChartTool!$D$4</f>
        <v>Full-time - 35 hours</v>
      </c>
      <c r="AP3" s="14" t="s">
        <v>49</v>
      </c>
      <c r="AQ3" s="14" t="s">
        <v>50</v>
      </c>
      <c r="AS3" s="62" t="str">
        <f>ChartTool!$D$5</f>
        <v>Private rent</v>
      </c>
    </row>
    <row r="4" spans="1:45" s="16" customFormat="1" ht="42.75" customHeight="1">
      <c r="A4" s="18" t="s">
        <v>9</v>
      </c>
      <c r="B4" s="13" t="s">
        <v>8</v>
      </c>
      <c r="C4" s="14" t="s">
        <v>29</v>
      </c>
      <c r="D4" s="32"/>
      <c r="E4" s="14" t="s">
        <v>4</v>
      </c>
      <c r="F4" s="28" t="s">
        <v>4</v>
      </c>
      <c r="G4" s="28" t="s">
        <v>4</v>
      </c>
      <c r="H4" s="28" t="s">
        <v>4</v>
      </c>
      <c r="I4" s="61"/>
      <c r="J4" s="61" t="str">
        <f>HLOOKUP($J$3,$E$3:$H$243,2,FALSE)</f>
        <v>Part-time - 6 hours</v>
      </c>
      <c r="L4" s="14" t="s">
        <v>4</v>
      </c>
      <c r="M4" s="14" t="s">
        <v>5</v>
      </c>
      <c r="N4" s="14" t="s">
        <v>6</v>
      </c>
      <c r="O4" s="15" t="s">
        <v>7</v>
      </c>
      <c r="S4" s="14" t="s">
        <v>44</v>
      </c>
      <c r="T4" s="14" t="s">
        <v>44</v>
      </c>
      <c r="V4" s="14" t="s">
        <v>44</v>
      </c>
      <c r="X4" s="18" t="s">
        <v>9</v>
      </c>
      <c r="Y4" s="13" t="s">
        <v>8</v>
      </c>
      <c r="Z4" s="14" t="s">
        <v>29</v>
      </c>
      <c r="AA4" s="32"/>
      <c r="AB4" s="14" t="s">
        <v>4</v>
      </c>
      <c r="AC4" s="28" t="s">
        <v>4</v>
      </c>
      <c r="AD4" s="28" t="s">
        <v>4</v>
      </c>
      <c r="AE4" s="28" t="s">
        <v>4</v>
      </c>
      <c r="AF4" s="61"/>
      <c r="AG4" s="61" t="str">
        <f>HLOOKUP($J$3,$E$3:$H$243,2,FALSE)</f>
        <v>Part-time - 6 hours</v>
      </c>
      <c r="AI4" s="14" t="s">
        <v>4</v>
      </c>
      <c r="AJ4" s="14" t="s">
        <v>5</v>
      </c>
      <c r="AK4" s="14" t="s">
        <v>6</v>
      </c>
      <c r="AL4" s="15" t="s">
        <v>7</v>
      </c>
      <c r="AP4" s="14" t="s">
        <v>44</v>
      </c>
      <c r="AQ4" s="14" t="s">
        <v>44</v>
      </c>
      <c r="AS4" s="14" t="s">
        <v>44</v>
      </c>
    </row>
    <row r="5" spans="1:45" ht="15.75" customHeight="1">
      <c r="A5" s="22" t="s">
        <v>10</v>
      </c>
      <c r="B5" s="23">
        <v>200.05625406835097</v>
      </c>
      <c r="C5" s="24">
        <v>286.3891799891346</v>
      </c>
      <c r="D5" s="33"/>
      <c r="E5" s="24">
        <v>298.8421799891346</v>
      </c>
      <c r="F5" s="24">
        <v>302.87417998913463</v>
      </c>
      <c r="G5" s="24">
        <v>302.16017998913463</v>
      </c>
      <c r="H5" s="24">
        <v>300.98417998913465</v>
      </c>
      <c r="I5" s="17"/>
      <c r="J5" s="68">
        <f>HLOOKUP($J$3,$E$3:$H$243,3,FALSE)</f>
        <v>298.8421799891346</v>
      </c>
      <c r="L5" s="70">
        <f>J5</f>
        <v>298.8421799891346</v>
      </c>
      <c r="M5" s="70">
        <f>J65</f>
        <v>315.1298389519839</v>
      </c>
      <c r="N5" s="70">
        <f>J125</f>
        <v>323.126910951984</v>
      </c>
      <c r="O5" s="70">
        <f>J185</f>
        <v>331.5487281169301</v>
      </c>
      <c r="Q5" s="66">
        <f>HLOOKUP($Q$3,$L$4:$O$63,2,FALSE)</f>
        <v>331.5487281169301</v>
      </c>
      <c r="S5" s="70">
        <f>Q5</f>
        <v>331.5487281169301</v>
      </c>
      <c r="T5" s="70">
        <f>Q20</f>
        <v>205.38872811693005</v>
      </c>
      <c r="V5" s="68">
        <f>HLOOKUP($V$3,$S$3:$T$33,3,FALSE)</f>
        <v>331.5487281169301</v>
      </c>
      <c r="X5" s="22" t="s">
        <v>10</v>
      </c>
      <c r="Y5" s="23">
        <v>200.05625406835097</v>
      </c>
      <c r="Z5" s="24">
        <v>286.3891799891346</v>
      </c>
      <c r="AA5" s="33"/>
      <c r="AB5" s="24">
        <v>48.75669515155286</v>
      </c>
      <c r="AC5" s="24">
        <v>52.7886951515529</v>
      </c>
      <c r="AD5" s="24">
        <v>52.0746951515529</v>
      </c>
      <c r="AE5" s="24">
        <v>50.898695151552914</v>
      </c>
      <c r="AF5" s="17"/>
      <c r="AG5" s="68">
        <f>HLOOKUP($J$3,$AB$3:$AE$243,3,FALSE)</f>
        <v>48.75669515155286</v>
      </c>
      <c r="AI5" s="70">
        <f>AG5</f>
        <v>48.75669515155286</v>
      </c>
      <c r="AJ5" s="70">
        <f>AG65</f>
        <v>65.04435411440218</v>
      </c>
      <c r="AK5" s="70">
        <f>AG125</f>
        <v>73.04142611440224</v>
      </c>
      <c r="AL5" s="70">
        <f>AG185</f>
        <v>81.46324327934835</v>
      </c>
      <c r="AN5" s="66">
        <f>HLOOKUP($Q$3,$AI$4:$AL$63,2,FALSE)</f>
        <v>81.46324327934835</v>
      </c>
      <c r="AP5" s="70">
        <f>AN5</f>
        <v>81.46324327934835</v>
      </c>
      <c r="AQ5" s="70">
        <f>AN20</f>
        <v>81.46395568103279</v>
      </c>
      <c r="AS5" s="68">
        <f>HLOOKUP($V$3,$AP$3:$AQ$33,3,FALSE)</f>
        <v>81.46324327934835</v>
      </c>
    </row>
    <row r="6" spans="1:45" ht="15.75" customHeight="1">
      <c r="A6" s="22" t="s">
        <v>11</v>
      </c>
      <c r="B6" s="23">
        <v>229.30359875081356</v>
      </c>
      <c r="C6" s="24">
        <v>455.4222841510558</v>
      </c>
      <c r="D6" s="33"/>
      <c r="E6" s="24">
        <v>491.0022841510558</v>
      </c>
      <c r="F6" s="24">
        <v>501.15728415105576</v>
      </c>
      <c r="G6" s="24">
        <v>500.4432841510558</v>
      </c>
      <c r="H6" s="24">
        <v>497.1222841510558</v>
      </c>
      <c r="I6" s="17"/>
      <c r="J6" s="68">
        <f>HLOOKUP($J$3,$E$3:$H$243,4,FALSE)</f>
        <v>491.0022841510558</v>
      </c>
      <c r="L6" s="70">
        <f aca="true" t="shared" si="0" ref="L6:L63">J6</f>
        <v>491.0022841510558</v>
      </c>
      <c r="M6" s="70">
        <f aca="true" t="shared" si="1" ref="M6:M63">J66</f>
        <v>590.1153995356711</v>
      </c>
      <c r="N6" s="70">
        <f aca="true" t="shared" si="2" ref="N6:N63">J126</f>
        <v>653.1719595356712</v>
      </c>
      <c r="O6" s="70">
        <f aca="true" t="shared" si="3" ref="O6:O63">J186</f>
        <v>732.4261629206711</v>
      </c>
      <c r="Q6" s="68">
        <f>HLOOKUP($Q$3,$L$4:$O$63,3,FALSE)</f>
        <v>732.4261629206711</v>
      </c>
      <c r="S6" s="70">
        <f aca="true" t="shared" si="4" ref="S6:S18">Q6</f>
        <v>732.4261629206711</v>
      </c>
      <c r="T6" s="70">
        <f aca="true" t="shared" si="5" ref="T6:T18">Q21</f>
        <v>587.8261629206713</v>
      </c>
      <c r="V6" s="68">
        <f>HLOOKUP($V$3,$S$3:$T$33,4,FALSE)</f>
        <v>732.4261629206711</v>
      </c>
      <c r="X6" s="22" t="s">
        <v>11</v>
      </c>
      <c r="Y6" s="23">
        <v>229.30359875081356</v>
      </c>
      <c r="Z6" s="24">
        <v>455.4222841510558</v>
      </c>
      <c r="AA6" s="33"/>
      <c r="AB6" s="24">
        <v>161.74945463101142</v>
      </c>
      <c r="AC6" s="24">
        <v>171.9044546310114</v>
      </c>
      <c r="AD6" s="24">
        <v>171.19045463101145</v>
      </c>
      <c r="AE6" s="24">
        <v>167.86945463101142</v>
      </c>
      <c r="AF6" s="17"/>
      <c r="AG6" s="68">
        <f>HLOOKUP($J$3,$AB$3:$AE$243,4,FALSE)</f>
        <v>161.74945463101142</v>
      </c>
      <c r="AI6" s="70">
        <f aca="true" t="shared" si="6" ref="AI6:AI63">AG6</f>
        <v>161.74945463101142</v>
      </c>
      <c r="AJ6" s="70">
        <f aca="true" t="shared" si="7" ref="AJ6:AJ63">AG66</f>
        <v>177.66257001562684</v>
      </c>
      <c r="AK6" s="70">
        <f aca="true" t="shared" si="8" ref="AK6:AK63">AG126</f>
        <v>174.15913001562689</v>
      </c>
      <c r="AL6" s="70">
        <f aca="true" t="shared" si="9" ref="AL6:AL63">AG186</f>
        <v>161.89333340062683</v>
      </c>
      <c r="AN6" s="68">
        <f>HLOOKUP($Q$3,$AI$4:$AL$63,3,FALSE)</f>
        <v>161.89333340062683</v>
      </c>
      <c r="AP6" s="70">
        <f aca="true" t="shared" si="10" ref="AP6:AP18">AN6</f>
        <v>161.89333340062683</v>
      </c>
      <c r="AQ6" s="70">
        <f aca="true" t="shared" si="11" ref="AQ6:AQ18">AN21</f>
        <v>161.8981872173378</v>
      </c>
      <c r="AS6" s="68">
        <f>HLOOKUP($V$3,$AP$3:$AQ$33,4,FALSE)</f>
        <v>161.89333340062683</v>
      </c>
    </row>
    <row r="7" spans="1:45" ht="15.75" customHeight="1">
      <c r="A7" s="22" t="s">
        <v>12</v>
      </c>
      <c r="B7" s="23">
        <v>200.05625406835097</v>
      </c>
      <c r="C7" s="24">
        <v>323.6317334279596</v>
      </c>
      <c r="D7" s="33"/>
      <c r="E7" s="24"/>
      <c r="F7" s="24"/>
      <c r="G7" s="24"/>
      <c r="H7" s="24"/>
      <c r="I7" s="17"/>
      <c r="J7" s="68">
        <f>HLOOKUP($J$3,$E$3:$H$243,5,FALSE)</f>
        <v>0</v>
      </c>
      <c r="L7" s="70">
        <f t="shared" si="0"/>
        <v>0</v>
      </c>
      <c r="M7" s="70">
        <f t="shared" si="1"/>
        <v>0</v>
      </c>
      <c r="N7" s="70">
        <f t="shared" si="2"/>
        <v>0</v>
      </c>
      <c r="O7" s="70">
        <f t="shared" si="3"/>
        <v>0</v>
      </c>
      <c r="Q7" s="68">
        <f>HLOOKUP($Q$3,$L$4:$O$63,4,FALSE)</f>
        <v>0</v>
      </c>
      <c r="S7" s="70">
        <f t="shared" si="4"/>
        <v>0</v>
      </c>
      <c r="T7" s="70">
        <f t="shared" si="5"/>
        <v>0</v>
      </c>
      <c r="V7" s="68">
        <f>HLOOKUP($V$3,$S$3:$T$33,5,FALSE)</f>
        <v>0</v>
      </c>
      <c r="X7" s="22" t="s">
        <v>12</v>
      </c>
      <c r="Y7" s="23">
        <v>200.05625406835097</v>
      </c>
      <c r="Z7" s="24">
        <v>323.6317334279596</v>
      </c>
      <c r="AA7" s="33"/>
      <c r="AB7" s="24"/>
      <c r="AC7" s="24"/>
      <c r="AD7" s="24"/>
      <c r="AE7" s="24"/>
      <c r="AF7" s="17"/>
      <c r="AG7" s="68">
        <f>HLOOKUP($J$3,$AB$3:$AE$243,5,FALSE)</f>
        <v>0</v>
      </c>
      <c r="AI7" s="70">
        <f t="shared" si="6"/>
        <v>0</v>
      </c>
      <c r="AJ7" s="70">
        <f t="shared" si="7"/>
        <v>0</v>
      </c>
      <c r="AK7" s="70">
        <f t="shared" si="8"/>
        <v>0</v>
      </c>
      <c r="AL7" s="70">
        <f t="shared" si="9"/>
        <v>0</v>
      </c>
      <c r="AN7" s="68">
        <f>HLOOKUP($Q$3,$AI$4:$AL$63,4,FALSE)</f>
        <v>0</v>
      </c>
      <c r="AP7" s="70">
        <f t="shared" si="10"/>
        <v>0</v>
      </c>
      <c r="AQ7" s="70">
        <f t="shared" si="11"/>
        <v>0</v>
      </c>
      <c r="AS7" s="68">
        <f>HLOOKUP($V$3,$AP$3:$AQ$33,5,FALSE)</f>
        <v>0</v>
      </c>
    </row>
    <row r="8" spans="1:45" ht="15.75" customHeight="1">
      <c r="A8" s="22" t="s">
        <v>13</v>
      </c>
      <c r="B8" s="23">
        <v>229.30359875081356</v>
      </c>
      <c r="C8" s="24">
        <v>492.66483758988085</v>
      </c>
      <c r="D8" s="33"/>
      <c r="E8" s="24"/>
      <c r="F8" s="24"/>
      <c r="G8" s="24"/>
      <c r="H8" s="24"/>
      <c r="I8" s="17"/>
      <c r="J8" s="68">
        <f>HLOOKUP($J$3,$E$3:$H$243,6,FALSE)</f>
        <v>0</v>
      </c>
      <c r="L8" s="70">
        <f t="shared" si="0"/>
        <v>0</v>
      </c>
      <c r="M8" s="70">
        <f t="shared" si="1"/>
        <v>0</v>
      </c>
      <c r="N8" s="70">
        <f t="shared" si="2"/>
        <v>0</v>
      </c>
      <c r="O8" s="70">
        <f t="shared" si="3"/>
        <v>0</v>
      </c>
      <c r="Q8" s="68">
        <f>HLOOKUP($Q$3,$L$4:$O$63,5,FALSE)</f>
        <v>0</v>
      </c>
      <c r="S8" s="70">
        <f t="shared" si="4"/>
        <v>0</v>
      </c>
      <c r="T8" s="70">
        <f t="shared" si="5"/>
        <v>0</v>
      </c>
      <c r="V8" s="68">
        <f>HLOOKUP($V$3,$S$3:$T$33,6,FALSE)</f>
        <v>0</v>
      </c>
      <c r="X8" s="22" t="s">
        <v>13</v>
      </c>
      <c r="Y8" s="23">
        <v>229.30359875081356</v>
      </c>
      <c r="Z8" s="24">
        <v>492.66483758988085</v>
      </c>
      <c r="AA8" s="33"/>
      <c r="AB8" s="24"/>
      <c r="AC8" s="24"/>
      <c r="AD8" s="24"/>
      <c r="AE8" s="24"/>
      <c r="AF8" s="17"/>
      <c r="AG8" s="68">
        <f>HLOOKUP($J$3,$AB$3:$AE$243,6,FALSE)</f>
        <v>0</v>
      </c>
      <c r="AI8" s="70">
        <f t="shared" si="6"/>
        <v>0</v>
      </c>
      <c r="AJ8" s="70">
        <f t="shared" si="7"/>
        <v>0</v>
      </c>
      <c r="AK8" s="70">
        <f t="shared" si="8"/>
        <v>0</v>
      </c>
      <c r="AL8" s="70">
        <f t="shared" si="9"/>
        <v>0</v>
      </c>
      <c r="AN8" s="68">
        <f>HLOOKUP($Q$3,$AI$4:$AL$63,5,FALSE)</f>
        <v>0</v>
      </c>
      <c r="AP8" s="70">
        <f t="shared" si="10"/>
        <v>0</v>
      </c>
      <c r="AQ8" s="70">
        <f t="shared" si="11"/>
        <v>0</v>
      </c>
      <c r="AS8" s="68">
        <f>HLOOKUP($V$3,$AP$3:$AQ$33,6,FALSE)</f>
        <v>0</v>
      </c>
    </row>
    <row r="9" spans="1:45" ht="15.75" customHeight="1">
      <c r="A9" s="22" t="s">
        <v>14</v>
      </c>
      <c r="B9" s="23">
        <v>200.05625406835097</v>
      </c>
      <c r="C9" s="24"/>
      <c r="D9" s="33"/>
      <c r="E9" s="24">
        <v>342.5847334279596</v>
      </c>
      <c r="F9" s="25">
        <v>346.6167334279596</v>
      </c>
      <c r="G9" s="24">
        <v>345.9027334279596</v>
      </c>
      <c r="H9" s="24">
        <v>344.72673342795963</v>
      </c>
      <c r="I9" s="17"/>
      <c r="J9" s="68">
        <f>HLOOKUP($J$3,$E$3:$H$243,7,FALSE)</f>
        <v>342.5847334279596</v>
      </c>
      <c r="L9" s="70">
        <f t="shared" si="0"/>
        <v>342.5847334279596</v>
      </c>
      <c r="M9" s="70">
        <f t="shared" si="1"/>
        <v>363.2823392235339</v>
      </c>
      <c r="N9" s="70">
        <f t="shared" si="2"/>
        <v>374.4731240097974</v>
      </c>
      <c r="O9" s="70">
        <f t="shared" si="3"/>
        <v>376.35691163736857</v>
      </c>
      <c r="Q9" s="68">
        <f>HLOOKUP($Q$3,$L$4:$O$63,6,FALSE)</f>
        <v>376.35691163736857</v>
      </c>
      <c r="S9" s="70">
        <f t="shared" si="4"/>
        <v>376.35691163736857</v>
      </c>
      <c r="T9" s="70">
        <f t="shared" si="5"/>
        <v>250.1969116373686</v>
      </c>
      <c r="V9" s="68">
        <f>HLOOKUP($V$3,$S$3:$T$33,7,FALSE)</f>
        <v>376.35691163736857</v>
      </c>
      <c r="X9" s="22" t="s">
        <v>14</v>
      </c>
      <c r="Y9" s="23">
        <v>200.05625406835097</v>
      </c>
      <c r="Z9" s="24"/>
      <c r="AA9" s="33"/>
      <c r="AB9" s="24">
        <v>92.49924859037785</v>
      </c>
      <c r="AC9" s="25">
        <v>96.53124859037788</v>
      </c>
      <c r="AD9" s="24">
        <v>95.81724859037789</v>
      </c>
      <c r="AE9" s="24">
        <v>94.6412485903779</v>
      </c>
      <c r="AF9" s="17"/>
      <c r="AG9" s="68">
        <f>HLOOKUP($J$3,$AB$3:$AE$243,7,FALSE)</f>
        <v>92.49924859037785</v>
      </c>
      <c r="AI9" s="70">
        <f t="shared" si="6"/>
        <v>92.49924859037785</v>
      </c>
      <c r="AJ9" s="70">
        <f t="shared" si="7"/>
        <v>113.19685438595215</v>
      </c>
      <c r="AK9" s="70">
        <f t="shared" si="8"/>
        <v>124.38763917221567</v>
      </c>
      <c r="AL9" s="70">
        <f t="shared" si="9"/>
        <v>126.27142679978684</v>
      </c>
      <c r="AN9" s="68">
        <f>HLOOKUP($Q$3,$AI$4:$AL$63,6,FALSE)</f>
        <v>126.27142679978684</v>
      </c>
      <c r="AP9" s="70">
        <f t="shared" si="10"/>
        <v>126.27142679978684</v>
      </c>
      <c r="AQ9" s="70">
        <f t="shared" si="11"/>
        <v>126.27213920147133</v>
      </c>
      <c r="AS9" s="68">
        <f>HLOOKUP($V$3,$AP$3:$AQ$33,7,FALSE)</f>
        <v>126.27142679978684</v>
      </c>
    </row>
    <row r="10" spans="1:45" ht="15.75" customHeight="1">
      <c r="A10" s="22" t="s">
        <v>15</v>
      </c>
      <c r="B10" s="23">
        <v>200.05625406835097</v>
      </c>
      <c r="C10" s="24"/>
      <c r="D10" s="33"/>
      <c r="E10" s="24">
        <v>355.0377334279596</v>
      </c>
      <c r="F10" s="24">
        <v>363.10173342795963</v>
      </c>
      <c r="G10" s="24">
        <v>361.67373342795963</v>
      </c>
      <c r="H10" s="24">
        <v>359.3217334279596</v>
      </c>
      <c r="I10" s="17"/>
      <c r="J10" s="68">
        <f>HLOOKUP($J$3,$E$3:$H$243,8,FALSE)</f>
        <v>355.0377334279596</v>
      </c>
      <c r="L10" s="70">
        <f t="shared" si="0"/>
        <v>355.0377334279596</v>
      </c>
      <c r="M10" s="70">
        <f t="shared" si="1"/>
        <v>382.6056520097974</v>
      </c>
      <c r="N10" s="70">
        <f t="shared" si="2"/>
        <v>408.52796881257495</v>
      </c>
      <c r="O10" s="70">
        <f t="shared" si="3"/>
        <v>439.77764881257497</v>
      </c>
      <c r="Q10" s="68">
        <f>HLOOKUP($Q$3,$L$4:$O$63,7,FALSE)</f>
        <v>439.77764881257497</v>
      </c>
      <c r="S10" s="70">
        <f t="shared" si="4"/>
        <v>439.77764881257497</v>
      </c>
      <c r="T10" s="70">
        <f t="shared" si="5"/>
        <v>373.128</v>
      </c>
      <c r="V10" s="68">
        <f>HLOOKUP($V$3,$S$3:$T$33,8,FALSE)</f>
        <v>439.77764881257497</v>
      </c>
      <c r="X10" s="22" t="s">
        <v>15</v>
      </c>
      <c r="Y10" s="23">
        <v>200.05625406835097</v>
      </c>
      <c r="Z10" s="24"/>
      <c r="AA10" s="33"/>
      <c r="AB10" s="24">
        <v>78.19224859037786</v>
      </c>
      <c r="AC10" s="24">
        <v>86.25624859037788</v>
      </c>
      <c r="AD10" s="24">
        <v>84.82824859037788</v>
      </c>
      <c r="AE10" s="24">
        <v>82.47624859037785</v>
      </c>
      <c r="AF10" s="17"/>
      <c r="AG10" s="68">
        <f>HLOOKUP($J$3,$AB$3:$AE$243,8,FALSE)</f>
        <v>78.19224859037786</v>
      </c>
      <c r="AI10" s="70">
        <f t="shared" si="6"/>
        <v>78.19224859037786</v>
      </c>
      <c r="AJ10" s="70">
        <f t="shared" si="7"/>
        <v>105.76016717221563</v>
      </c>
      <c r="AK10" s="70">
        <f t="shared" si="8"/>
        <v>131.6824839749932</v>
      </c>
      <c r="AL10" s="70">
        <f t="shared" si="9"/>
        <v>162.93216397499322</v>
      </c>
      <c r="AN10" s="68">
        <f>HLOOKUP($Q$3,$AI$4:$AL$63,7,FALSE)</f>
        <v>162.93216397499322</v>
      </c>
      <c r="AP10" s="70">
        <f t="shared" si="10"/>
        <v>162.93216397499322</v>
      </c>
      <c r="AQ10" s="70">
        <f t="shared" si="11"/>
        <v>222.44322756410273</v>
      </c>
      <c r="AS10" s="68">
        <f>HLOOKUP($V$3,$AP$3:$AQ$33,8,FALSE)</f>
        <v>162.93216397499322</v>
      </c>
    </row>
    <row r="11" spans="1:45" ht="15.75" customHeight="1">
      <c r="A11" s="22" t="s">
        <v>16</v>
      </c>
      <c r="B11" s="23">
        <v>229.30359875081356</v>
      </c>
      <c r="C11" s="24"/>
      <c r="D11" s="33"/>
      <c r="E11" s="24">
        <v>521.3678375898808</v>
      </c>
      <c r="F11" s="24">
        <v>525.3998375898808</v>
      </c>
      <c r="G11" s="24">
        <v>524.6858375898809</v>
      </c>
      <c r="H11" s="24">
        <v>523.5098375898808</v>
      </c>
      <c r="I11" s="17"/>
      <c r="J11" s="68">
        <f>HLOOKUP($J$3,$E$3:$H$243,9,FALSE)</f>
        <v>521.3678375898808</v>
      </c>
      <c r="L11" s="70">
        <f t="shared" si="0"/>
        <v>521.3678375898808</v>
      </c>
      <c r="M11" s="70">
        <f t="shared" si="1"/>
        <v>542.0654433854552</v>
      </c>
      <c r="N11" s="70">
        <f t="shared" si="2"/>
        <v>550.2703340800336</v>
      </c>
      <c r="O11" s="70">
        <f t="shared" si="3"/>
        <v>560.2099056577798</v>
      </c>
      <c r="Q11" s="68">
        <f>HLOOKUP($Q$3,$L$4:$O$63,8,FALSE)</f>
        <v>560.2099056577798</v>
      </c>
      <c r="S11" s="70">
        <f t="shared" si="4"/>
        <v>560.2099056577798</v>
      </c>
      <c r="T11" s="70">
        <f t="shared" si="5"/>
        <v>415.6099056577798</v>
      </c>
      <c r="V11" s="68">
        <f>HLOOKUP($V$3,$S$3:$T$33,9,FALSE)</f>
        <v>560.2099056577798</v>
      </c>
      <c r="X11" s="22" t="s">
        <v>16</v>
      </c>
      <c r="Y11" s="23">
        <v>229.30359875081356</v>
      </c>
      <c r="Z11" s="24"/>
      <c r="AA11" s="33"/>
      <c r="AB11" s="24">
        <v>242.0350080698364</v>
      </c>
      <c r="AC11" s="24">
        <v>246.06700806983645</v>
      </c>
      <c r="AD11" s="24">
        <v>245.3530080698365</v>
      </c>
      <c r="AE11" s="24">
        <v>244.17700806983646</v>
      </c>
      <c r="AF11" s="17"/>
      <c r="AG11" s="68">
        <f>HLOOKUP($J$3,$AB$3:$AE$243,9,FALSE)</f>
        <v>242.0350080698364</v>
      </c>
      <c r="AI11" s="70">
        <f t="shared" si="6"/>
        <v>242.0350080698364</v>
      </c>
      <c r="AJ11" s="70">
        <f t="shared" si="7"/>
        <v>262.7326138654108</v>
      </c>
      <c r="AK11" s="70">
        <f t="shared" si="8"/>
        <v>270.9375045599893</v>
      </c>
      <c r="AL11" s="70">
        <f t="shared" si="9"/>
        <v>280.87707613773546</v>
      </c>
      <c r="AN11" s="68">
        <f>HLOOKUP($Q$3,$AI$4:$AL$63,8,FALSE)</f>
        <v>280.87707613773546</v>
      </c>
      <c r="AP11" s="70">
        <f t="shared" si="10"/>
        <v>280.87707613773546</v>
      </c>
      <c r="AQ11" s="70">
        <f t="shared" si="11"/>
        <v>280.88192995444626</v>
      </c>
      <c r="AS11" s="68">
        <f>HLOOKUP($V$3,$AP$3:$AQ$33,9,FALSE)</f>
        <v>280.87707613773546</v>
      </c>
    </row>
    <row r="12" spans="1:45" ht="15.75" customHeight="1">
      <c r="A12" s="22" t="s">
        <v>17</v>
      </c>
      <c r="B12" s="23">
        <v>229.30359875081356</v>
      </c>
      <c r="C12" s="24"/>
      <c r="D12" s="33"/>
      <c r="E12" s="24">
        <v>533.8208375898809</v>
      </c>
      <c r="F12" s="24">
        <v>541.8848375898808</v>
      </c>
      <c r="G12" s="24">
        <v>540.4568375898808</v>
      </c>
      <c r="H12" s="24">
        <v>538.1048375898808</v>
      </c>
      <c r="I12" s="17"/>
      <c r="J12" s="68">
        <f>HLOOKUP($J$3,$E$3:$H$243,10,FALSE)</f>
        <v>533.8208375898809</v>
      </c>
      <c r="L12" s="70">
        <f t="shared" si="0"/>
        <v>533.8208375898809</v>
      </c>
      <c r="M12" s="70">
        <f t="shared" si="1"/>
        <v>647.5659529744962</v>
      </c>
      <c r="N12" s="70">
        <f t="shared" si="2"/>
        <v>727.0870729744962</v>
      </c>
      <c r="O12" s="70">
        <f t="shared" si="3"/>
        <v>821.9661163594963</v>
      </c>
      <c r="Q12" s="68">
        <f>HLOOKUP($Q$3,$L$4:$O$63,9,FALSE)</f>
        <v>821.9661163594963</v>
      </c>
      <c r="S12" s="70">
        <f t="shared" si="4"/>
        <v>821.9661163594963</v>
      </c>
      <c r="T12" s="70">
        <f t="shared" si="5"/>
        <v>677.3661163594962</v>
      </c>
      <c r="V12" s="68">
        <f>HLOOKUP($V$3,$S$3:$T$33,10,FALSE)</f>
        <v>821.9661163594963</v>
      </c>
      <c r="X12" s="22" t="s">
        <v>17</v>
      </c>
      <c r="Y12" s="23">
        <v>229.30359875081356</v>
      </c>
      <c r="Z12" s="24"/>
      <c r="AA12" s="33"/>
      <c r="AB12" s="24">
        <v>177.8080080698365</v>
      </c>
      <c r="AC12" s="24">
        <v>185.87200806983645</v>
      </c>
      <c r="AD12" s="24">
        <v>184.44400806983646</v>
      </c>
      <c r="AE12" s="24">
        <v>182.09200806983648</v>
      </c>
      <c r="AF12" s="17"/>
      <c r="AG12" s="68">
        <f>HLOOKUP($J$3,$AB$3:$AE$243,10,FALSE)</f>
        <v>177.8080080698365</v>
      </c>
      <c r="AI12" s="70">
        <f t="shared" si="6"/>
        <v>177.8080080698365</v>
      </c>
      <c r="AJ12" s="70">
        <f t="shared" si="7"/>
        <v>208.35312345445186</v>
      </c>
      <c r="AK12" s="70">
        <f t="shared" si="8"/>
        <v>221.31424345445186</v>
      </c>
      <c r="AL12" s="70">
        <f t="shared" si="9"/>
        <v>224.67328683945198</v>
      </c>
      <c r="AN12" s="68">
        <f>HLOOKUP($Q$3,$AI$4:$AL$63,9,FALSE)</f>
        <v>224.67328683945198</v>
      </c>
      <c r="AP12" s="70">
        <f t="shared" si="10"/>
        <v>224.67328683945198</v>
      </c>
      <c r="AQ12" s="70">
        <f t="shared" si="11"/>
        <v>224.67814065616273</v>
      </c>
      <c r="AS12" s="68">
        <f>HLOOKUP($V$3,$AP$3:$AQ$33,10,FALSE)</f>
        <v>224.67328683945198</v>
      </c>
    </row>
    <row r="13" spans="1:45" ht="15.75" customHeight="1">
      <c r="A13" s="22" t="s">
        <v>18</v>
      </c>
      <c r="B13" s="23">
        <v>265.8999350974548</v>
      </c>
      <c r="C13" s="24"/>
      <c r="D13" s="33"/>
      <c r="E13" s="24">
        <v>535.58</v>
      </c>
      <c r="F13" s="24">
        <v>547.1</v>
      </c>
      <c r="G13" s="24">
        <v>545.06</v>
      </c>
      <c r="H13" s="24">
        <v>541.6999999999999</v>
      </c>
      <c r="I13" s="17"/>
      <c r="J13" s="68">
        <f>HLOOKUP($J$3,$E$3:$H$243,11,FALSE)</f>
        <v>535.58</v>
      </c>
      <c r="L13" s="70">
        <f t="shared" si="0"/>
        <v>535.58</v>
      </c>
      <c r="M13" s="70">
        <f t="shared" si="1"/>
        <v>578.6654433854551</v>
      </c>
      <c r="N13" s="70">
        <f t="shared" si="2"/>
        <v>586.8703340800336</v>
      </c>
      <c r="O13" s="70">
        <f t="shared" si="3"/>
        <v>596.8099056577797</v>
      </c>
      <c r="Q13" s="68">
        <f>HLOOKUP($Q$3,$L$4:$O$63,10,FALSE)</f>
        <v>596.8099056577797</v>
      </c>
      <c r="S13" s="70">
        <f t="shared" si="4"/>
        <v>596.8099056577797</v>
      </c>
      <c r="T13" s="70">
        <f t="shared" si="5"/>
        <v>429.1299056577798</v>
      </c>
      <c r="V13" s="68">
        <f>HLOOKUP($V$3,$S$3:$T$33,11,FALSE)</f>
        <v>596.8099056577797</v>
      </c>
      <c r="X13" s="22" t="s">
        <v>18</v>
      </c>
      <c r="Y13" s="23">
        <v>265.8999350974548</v>
      </c>
      <c r="Z13" s="24"/>
      <c r="AA13" s="33"/>
      <c r="AB13" s="24">
        <v>219.6508341333145</v>
      </c>
      <c r="AC13" s="24">
        <v>231.1708341333145</v>
      </c>
      <c r="AD13" s="24">
        <v>229.1308341333144</v>
      </c>
      <c r="AE13" s="24">
        <v>225.7708341333144</v>
      </c>
      <c r="AF13" s="17"/>
      <c r="AG13" s="68">
        <f>HLOOKUP($J$3,$AB$3:$AE$243,11,FALSE)</f>
        <v>219.6508341333145</v>
      </c>
      <c r="AI13" s="70">
        <f t="shared" si="6"/>
        <v>219.6508341333145</v>
      </c>
      <c r="AJ13" s="70">
        <f t="shared" si="7"/>
        <v>262.73627751876955</v>
      </c>
      <c r="AK13" s="70">
        <f t="shared" si="8"/>
        <v>270.941168213348</v>
      </c>
      <c r="AL13" s="70">
        <f t="shared" si="9"/>
        <v>280.8807397910942</v>
      </c>
      <c r="AN13" s="68">
        <f>HLOOKUP($Q$3,$AI$4:$AL$63,10,FALSE)</f>
        <v>280.8807397910942</v>
      </c>
      <c r="AP13" s="70">
        <f t="shared" si="10"/>
        <v>280.8807397910942</v>
      </c>
      <c r="AQ13" s="70">
        <f t="shared" si="11"/>
        <v>280.8842016037663</v>
      </c>
      <c r="AS13" s="68">
        <f>HLOOKUP($V$3,$AP$3:$AQ$33,11,FALSE)</f>
        <v>280.8807397910942</v>
      </c>
    </row>
    <row r="14" spans="1:45" ht="15.75" customHeight="1">
      <c r="A14" s="22" t="s">
        <v>19</v>
      </c>
      <c r="B14" s="23">
        <v>265.8999350974548</v>
      </c>
      <c r="C14" s="24"/>
      <c r="D14" s="33"/>
      <c r="E14" s="24">
        <v>570.4208375898808</v>
      </c>
      <c r="F14" s="24">
        <v>578.4848375898807</v>
      </c>
      <c r="G14" s="24">
        <v>577.0568375898808</v>
      </c>
      <c r="H14" s="24">
        <v>574.7048375898808</v>
      </c>
      <c r="I14" s="17"/>
      <c r="J14" s="68">
        <f>HLOOKUP($J$3,$E$3:$H$243,12,FALSE)</f>
        <v>570.4208375898808</v>
      </c>
      <c r="L14" s="70">
        <f t="shared" si="0"/>
        <v>570.4208375898808</v>
      </c>
      <c r="M14" s="70">
        <f t="shared" si="1"/>
        <v>684.1659529744961</v>
      </c>
      <c r="N14" s="70">
        <f t="shared" si="2"/>
        <v>763.6870729744962</v>
      </c>
      <c r="O14" s="70">
        <f t="shared" si="3"/>
        <v>858.5661163594962</v>
      </c>
      <c r="Q14" s="68">
        <f>HLOOKUP($Q$3,$L$4:$O$63,11,FALSE)</f>
        <v>858.5661163594962</v>
      </c>
      <c r="S14" s="70">
        <f t="shared" si="4"/>
        <v>858.5661163594962</v>
      </c>
      <c r="T14" s="70">
        <f t="shared" si="5"/>
        <v>690.8861163594962</v>
      </c>
      <c r="V14" s="68">
        <f>HLOOKUP($V$3,$S$3:$T$33,12,FALSE)</f>
        <v>858.5661163594962</v>
      </c>
      <c r="X14" s="22" t="s">
        <v>19</v>
      </c>
      <c r="Y14" s="23">
        <v>265.8999350974548</v>
      </c>
      <c r="Z14" s="24"/>
      <c r="AA14" s="33"/>
      <c r="AB14" s="24">
        <v>177.81167172319522</v>
      </c>
      <c r="AC14" s="24">
        <v>185.87567172319518</v>
      </c>
      <c r="AD14" s="24">
        <v>184.4476717231953</v>
      </c>
      <c r="AE14" s="24">
        <v>182.0956717231952</v>
      </c>
      <c r="AF14" s="17"/>
      <c r="AG14" s="68">
        <f>HLOOKUP($J$3,$AB$3:$AE$243,12,FALSE)</f>
        <v>177.81167172319522</v>
      </c>
      <c r="AI14" s="70">
        <f t="shared" si="6"/>
        <v>177.81167172319522</v>
      </c>
      <c r="AJ14" s="70">
        <f t="shared" si="7"/>
        <v>208.3567871078106</v>
      </c>
      <c r="AK14" s="70">
        <f t="shared" si="8"/>
        <v>221.3179071078107</v>
      </c>
      <c r="AL14" s="70">
        <f t="shared" si="9"/>
        <v>224.67695049281065</v>
      </c>
      <c r="AN14" s="68">
        <f>HLOOKUP($Q$3,$AI$4:$AL$63,11,FALSE)</f>
        <v>224.67695049281065</v>
      </c>
      <c r="AP14" s="70">
        <f t="shared" si="10"/>
        <v>224.67695049281065</v>
      </c>
      <c r="AQ14" s="70">
        <f t="shared" si="11"/>
        <v>224.68041230548278</v>
      </c>
      <c r="AS14" s="68">
        <f>HLOOKUP($V$3,$AP$3:$AQ$33,12,FALSE)</f>
        <v>224.67695049281065</v>
      </c>
    </row>
    <row r="15" spans="1:45" ht="15.75" customHeight="1">
      <c r="A15" s="22" t="s">
        <v>20</v>
      </c>
      <c r="B15" s="23">
        <v>265.8999350974548</v>
      </c>
      <c r="C15" s="24"/>
      <c r="D15" s="33"/>
      <c r="E15" s="24">
        <v>535.58</v>
      </c>
      <c r="F15" s="24">
        <v>547.1</v>
      </c>
      <c r="G15" s="24">
        <v>545.06</v>
      </c>
      <c r="H15" s="24">
        <v>541.7</v>
      </c>
      <c r="I15" s="17"/>
      <c r="J15" s="68">
        <f>HLOOKUP($J$3,$E$3:$H$243,13,FALSE)</f>
        <v>535.58</v>
      </c>
      <c r="L15" s="70">
        <f t="shared" si="0"/>
        <v>535.58</v>
      </c>
      <c r="M15" s="70">
        <f t="shared" si="1"/>
        <v>594.88</v>
      </c>
      <c r="N15" s="70">
        <f t="shared" si="2"/>
        <v>653.764736078035</v>
      </c>
      <c r="O15" s="70">
        <f t="shared" si="3"/>
        <v>663.7043076557811</v>
      </c>
      <c r="Q15" s="68">
        <f>HLOOKUP($Q$3,$L$4:$O$63,12,FALSE)</f>
        <v>663.7043076557811</v>
      </c>
      <c r="S15" s="70">
        <f t="shared" si="4"/>
        <v>663.7043076557811</v>
      </c>
      <c r="T15" s="70">
        <f t="shared" si="5"/>
        <v>496.02430765578123</v>
      </c>
      <c r="V15" s="68">
        <f>HLOOKUP($V$3,$S$3:$T$33,13,FALSE)</f>
        <v>663.7043076557811</v>
      </c>
      <c r="X15" s="22" t="s">
        <v>20</v>
      </c>
      <c r="Y15" s="23">
        <v>265.8999350974548</v>
      </c>
      <c r="Z15" s="24"/>
      <c r="AA15" s="33"/>
      <c r="AB15" s="24">
        <v>219.6508341333145</v>
      </c>
      <c r="AC15" s="24">
        <v>231.1708341333145</v>
      </c>
      <c r="AD15" s="24">
        <v>229.1308341333144</v>
      </c>
      <c r="AE15" s="24">
        <v>225.7708341333145</v>
      </c>
      <c r="AF15" s="17"/>
      <c r="AG15" s="68">
        <f>HLOOKUP($J$3,$AB$3:$AE$243,13,FALSE)</f>
        <v>219.6508341333145</v>
      </c>
      <c r="AI15" s="70">
        <f t="shared" si="6"/>
        <v>219.6508341333145</v>
      </c>
      <c r="AJ15" s="70">
        <f t="shared" si="7"/>
        <v>278.95083413331446</v>
      </c>
      <c r="AK15" s="70">
        <f t="shared" si="8"/>
        <v>337.8355702113494</v>
      </c>
      <c r="AL15" s="70">
        <f t="shared" si="9"/>
        <v>347.7751417890956</v>
      </c>
      <c r="AN15" s="68">
        <f>HLOOKUP($Q$3,$AI$4:$AL$63,12,FALSE)</f>
        <v>347.7751417890956</v>
      </c>
      <c r="AP15" s="70">
        <f t="shared" si="10"/>
        <v>347.7751417890956</v>
      </c>
      <c r="AQ15" s="70">
        <f t="shared" si="11"/>
        <v>347.7786036017678</v>
      </c>
      <c r="AS15" s="68">
        <f>HLOOKUP($V$3,$AP$3:$AQ$33,13,FALSE)</f>
        <v>347.7751417890956</v>
      </c>
    </row>
    <row r="16" spans="1:45" ht="15.75" customHeight="1">
      <c r="A16" s="22" t="s">
        <v>21</v>
      </c>
      <c r="B16" s="23">
        <v>265.8999350974548</v>
      </c>
      <c r="C16" s="24"/>
      <c r="D16" s="33"/>
      <c r="E16" s="24">
        <v>571.16</v>
      </c>
      <c r="F16" s="24">
        <v>594.2</v>
      </c>
      <c r="G16" s="24">
        <v>590.12</v>
      </c>
      <c r="H16" s="24">
        <v>583.4</v>
      </c>
      <c r="I16" s="17"/>
      <c r="J16" s="68">
        <f>HLOOKUP($J$3,$E$3:$H$243,14,FALSE)</f>
        <v>571.16</v>
      </c>
      <c r="L16" s="70">
        <f t="shared" si="0"/>
        <v>571.16</v>
      </c>
      <c r="M16" s="70">
        <f t="shared" si="1"/>
        <v>795.7205851785211</v>
      </c>
      <c r="N16" s="70">
        <f t="shared" si="2"/>
        <v>892.2790685635212</v>
      </c>
      <c r="O16" s="70">
        <f t="shared" si="3"/>
        <v>923.5287485635213</v>
      </c>
      <c r="Q16" s="68">
        <f>HLOOKUP($Q$3,$L$4:$O$63,13,FALSE)</f>
        <v>923.5287485635213</v>
      </c>
      <c r="S16" s="70">
        <f t="shared" si="4"/>
        <v>923.5287485635213</v>
      </c>
      <c r="T16" s="70">
        <f t="shared" si="5"/>
        <v>755.8487485635212</v>
      </c>
      <c r="V16" s="68">
        <f>HLOOKUP($V$3,$S$3:$T$33,14,FALSE)</f>
        <v>923.5287485635213</v>
      </c>
      <c r="X16" s="22" t="s">
        <v>21</v>
      </c>
      <c r="Y16" s="23">
        <v>265.8999350974548</v>
      </c>
      <c r="Z16" s="24"/>
      <c r="AA16" s="33"/>
      <c r="AB16" s="24">
        <v>153.59083413331444</v>
      </c>
      <c r="AC16" s="24">
        <v>176.63083413331452</v>
      </c>
      <c r="AD16" s="24">
        <v>172.55083413331448</v>
      </c>
      <c r="AE16" s="24">
        <v>165.83083413331445</v>
      </c>
      <c r="AF16" s="17"/>
      <c r="AG16" s="68">
        <f>HLOOKUP($J$3,$AB$3:$AE$243,14,FALSE)</f>
        <v>153.59083413331444</v>
      </c>
      <c r="AI16" s="70">
        <f t="shared" si="6"/>
        <v>153.59083413331444</v>
      </c>
      <c r="AJ16" s="70">
        <f t="shared" si="7"/>
        <v>253.35141931183557</v>
      </c>
      <c r="AK16" s="70">
        <f t="shared" si="8"/>
        <v>250.0699026968357</v>
      </c>
      <c r="AL16" s="70">
        <f t="shared" si="9"/>
        <v>144.03958269683585</v>
      </c>
      <c r="AN16" s="68">
        <f>HLOOKUP($Q$3,$AI$4:$AL$63,13,FALSE)</f>
        <v>144.03958269683585</v>
      </c>
      <c r="AP16" s="70">
        <f t="shared" si="10"/>
        <v>144.03958269683585</v>
      </c>
      <c r="AQ16" s="70">
        <f t="shared" si="11"/>
        <v>144.0430445095078</v>
      </c>
      <c r="AS16" s="68">
        <f>HLOOKUP($V$3,$AP$3:$AQ$33,14,FALSE)</f>
        <v>144.03958269683585</v>
      </c>
    </row>
    <row r="17" spans="1:45" ht="15.75" customHeight="1">
      <c r="A17" s="22" t="s">
        <v>22</v>
      </c>
      <c r="B17" s="23">
        <v>265.8999350974548</v>
      </c>
      <c r="C17" s="24"/>
      <c r="D17" s="33"/>
      <c r="E17" s="24">
        <v>535.58</v>
      </c>
      <c r="F17" s="24">
        <v>547.1</v>
      </c>
      <c r="G17" s="24">
        <v>545.0600000000001</v>
      </c>
      <c r="H17" s="24">
        <v>541.7</v>
      </c>
      <c r="I17" s="17"/>
      <c r="J17" s="68">
        <f>HLOOKUP($J$3,$E$3:$H$243,15,FALSE)</f>
        <v>535.58</v>
      </c>
      <c r="L17" s="70">
        <f t="shared" si="0"/>
        <v>535.58</v>
      </c>
      <c r="M17" s="70">
        <f t="shared" si="1"/>
        <v>594.88</v>
      </c>
      <c r="N17" s="70">
        <f t="shared" si="2"/>
        <v>717.4091380760365</v>
      </c>
      <c r="O17" s="70">
        <f t="shared" si="3"/>
        <v>727.3487096537826</v>
      </c>
      <c r="Q17" s="68">
        <f>HLOOKUP($Q$3,$L$4:$O$63,14,FALSE)</f>
        <v>727.3487096537826</v>
      </c>
      <c r="S17" s="70">
        <f t="shared" si="4"/>
        <v>727.3487096537826</v>
      </c>
      <c r="T17" s="70">
        <f t="shared" si="5"/>
        <v>559.6687096537826</v>
      </c>
      <c r="V17" s="68">
        <f>HLOOKUP($V$3,$S$3:$T$33,15,FALSE)</f>
        <v>727.3487096537826</v>
      </c>
      <c r="X17" s="22" t="s">
        <v>22</v>
      </c>
      <c r="Y17" s="23">
        <v>265.8999350974548</v>
      </c>
      <c r="Z17" s="24"/>
      <c r="AA17" s="33"/>
      <c r="AB17" s="24">
        <v>219.6508341333145</v>
      </c>
      <c r="AC17" s="24">
        <v>231.1708341333145</v>
      </c>
      <c r="AD17" s="24">
        <v>229.13083413331452</v>
      </c>
      <c r="AE17" s="24">
        <v>225.7708341333145</v>
      </c>
      <c r="AF17" s="17"/>
      <c r="AG17" s="68">
        <f>HLOOKUP($J$3,$AB$3:$AE$243,15,FALSE)</f>
        <v>219.6508341333145</v>
      </c>
      <c r="AI17" s="70">
        <f t="shared" si="6"/>
        <v>219.6508341333145</v>
      </c>
      <c r="AJ17" s="70">
        <f t="shared" si="7"/>
        <v>278.95083413331446</v>
      </c>
      <c r="AK17" s="70">
        <f t="shared" si="8"/>
        <v>401.47997220935093</v>
      </c>
      <c r="AL17" s="70">
        <f t="shared" si="9"/>
        <v>411.4195437870971</v>
      </c>
      <c r="AN17" s="68">
        <f>HLOOKUP($Q$3,$AI$4:$AL$63,14,FALSE)</f>
        <v>411.4195437870971</v>
      </c>
      <c r="AP17" s="70">
        <f t="shared" si="10"/>
        <v>411.4195437870971</v>
      </c>
      <c r="AQ17" s="70">
        <f t="shared" si="11"/>
        <v>411.4230055997691</v>
      </c>
      <c r="AS17" s="68">
        <f>HLOOKUP($V$3,$AP$3:$AQ$33,15,FALSE)</f>
        <v>411.4195437870971</v>
      </c>
    </row>
    <row r="18" spans="1:45" ht="15.75" customHeight="1">
      <c r="A18" s="22" t="s">
        <v>23</v>
      </c>
      <c r="B18" s="23">
        <v>265.8999350974548</v>
      </c>
      <c r="C18" s="24"/>
      <c r="D18" s="33"/>
      <c r="E18" s="24">
        <v>571.1600000000001</v>
      </c>
      <c r="F18" s="24">
        <v>594.1999999999999</v>
      </c>
      <c r="G18" s="24">
        <v>590.12</v>
      </c>
      <c r="H18" s="24">
        <v>583.4</v>
      </c>
      <c r="I18" s="17"/>
      <c r="J18" s="68">
        <f>HLOOKUP($J$3,$E$3:$H$243,16,FALSE)</f>
        <v>571.1600000000001</v>
      </c>
      <c r="L18" s="70">
        <f t="shared" si="0"/>
        <v>571.1600000000001</v>
      </c>
      <c r="M18" s="70">
        <f t="shared" si="1"/>
        <v>904.0252173825461</v>
      </c>
      <c r="N18" s="70">
        <f t="shared" si="2"/>
        <v>953.9917007675463</v>
      </c>
      <c r="O18" s="70">
        <f t="shared" si="3"/>
        <v>985.2413807675462</v>
      </c>
      <c r="Q18" s="68">
        <f>HLOOKUP($Q$3,$L$4:$O$63,15,FALSE)</f>
        <v>985.2413807675462</v>
      </c>
      <c r="S18" s="70">
        <f t="shared" si="4"/>
        <v>985.2413807675462</v>
      </c>
      <c r="T18" s="70">
        <f t="shared" si="5"/>
        <v>817.5613807675463</v>
      </c>
      <c r="V18" s="68">
        <f>HLOOKUP($V$3,$S$3:$T$33,16,FALSE)</f>
        <v>985.2413807675462</v>
      </c>
      <c r="X18" s="22" t="s">
        <v>23</v>
      </c>
      <c r="Y18" s="23">
        <v>265.8999350974548</v>
      </c>
      <c r="Z18" s="24"/>
      <c r="AA18" s="33"/>
      <c r="AB18" s="24">
        <v>128.63083413331452</v>
      </c>
      <c r="AC18" s="24">
        <v>151.67083413331437</v>
      </c>
      <c r="AD18" s="24">
        <v>147.59083413331444</v>
      </c>
      <c r="AE18" s="24">
        <v>140.87083413331442</v>
      </c>
      <c r="AF18" s="17"/>
      <c r="AG18" s="68">
        <f>HLOOKUP($J$3,$AB$3:$AE$243,16,FALSE)</f>
        <v>128.63083413331452</v>
      </c>
      <c r="AI18" s="70">
        <f t="shared" si="6"/>
        <v>128.63083413331452</v>
      </c>
      <c r="AJ18" s="70">
        <f t="shared" si="7"/>
        <v>295.0960515158606</v>
      </c>
      <c r="AK18" s="70">
        <f t="shared" si="8"/>
        <v>211.94253490086078</v>
      </c>
      <c r="AL18" s="70">
        <f t="shared" si="9"/>
        <v>60.15221490086071</v>
      </c>
      <c r="AN18" s="68">
        <f>HLOOKUP($Q$3,$AI$4:$AL$63,15,FALSE)</f>
        <v>60.15221490086071</v>
      </c>
      <c r="AP18" s="70">
        <f t="shared" si="10"/>
        <v>60.15221490086071</v>
      </c>
      <c r="AQ18" s="70">
        <f t="shared" si="11"/>
        <v>60.15567671353301</v>
      </c>
      <c r="AS18" s="68">
        <f>HLOOKUP($V$3,$AP$3:$AQ$33,16,FALSE)</f>
        <v>60.15221490086071</v>
      </c>
    </row>
    <row r="19" spans="1:45" ht="39.75" customHeight="1">
      <c r="A19" s="18" t="s">
        <v>24</v>
      </c>
      <c r="B19" s="13" t="s">
        <v>8</v>
      </c>
      <c r="C19" s="14" t="s">
        <v>29</v>
      </c>
      <c r="D19" s="32"/>
      <c r="E19" s="14" t="s">
        <v>4</v>
      </c>
      <c r="F19" s="28" t="s">
        <v>4</v>
      </c>
      <c r="G19" s="28" t="s">
        <v>4</v>
      </c>
      <c r="H19" s="28" t="s">
        <v>4</v>
      </c>
      <c r="I19" s="61"/>
      <c r="J19" s="28" t="str">
        <f>HLOOKUP($J$3,$E$3:$H$243,17,FALSE)</f>
        <v>Part-time - 6 hours</v>
      </c>
      <c r="L19" s="28" t="str">
        <f t="shared" si="0"/>
        <v>Part-time - 6 hours</v>
      </c>
      <c r="M19" s="28" t="str">
        <f t="shared" si="1"/>
        <v>Part-time - 16 hours</v>
      </c>
      <c r="N19" s="28" t="str">
        <f t="shared" si="2"/>
        <v>Part-time - 24 hours</v>
      </c>
      <c r="O19" s="28" t="str">
        <f t="shared" si="3"/>
        <v>Full-time - 35 hours</v>
      </c>
      <c r="Q19" s="28" t="str">
        <f>HLOOKUP($Q$3,$L$4:$O$63,16,FALSE)</f>
        <v>Full-time - 35 hours</v>
      </c>
      <c r="R19" s="71"/>
      <c r="S19" s="28" t="s">
        <v>45</v>
      </c>
      <c r="T19" s="28" t="s">
        <v>45</v>
      </c>
      <c r="V19" s="28" t="s">
        <v>45</v>
      </c>
      <c r="X19" s="18" t="s">
        <v>24</v>
      </c>
      <c r="Y19" s="13" t="s">
        <v>8</v>
      </c>
      <c r="Z19" s="14" t="s">
        <v>29</v>
      </c>
      <c r="AA19" s="32"/>
      <c r="AB19" s="14" t="s">
        <v>4</v>
      </c>
      <c r="AC19" s="28" t="s">
        <v>4</v>
      </c>
      <c r="AD19" s="28" t="s">
        <v>4</v>
      </c>
      <c r="AE19" s="28" t="s">
        <v>4</v>
      </c>
      <c r="AF19" s="61"/>
      <c r="AG19" s="28" t="str">
        <f>HLOOKUP($J$3,$AB$3:$AE$243,17,FALSE)</f>
        <v>Part-time - 6 hours</v>
      </c>
      <c r="AI19" s="28" t="str">
        <f t="shared" si="6"/>
        <v>Part-time - 6 hours</v>
      </c>
      <c r="AJ19" s="28" t="str">
        <f t="shared" si="7"/>
        <v>Part-time - 16 hours</v>
      </c>
      <c r="AK19" s="28" t="str">
        <f t="shared" si="8"/>
        <v>Part-time - 24 hours</v>
      </c>
      <c r="AL19" s="28" t="str">
        <f t="shared" si="9"/>
        <v>Full-time - 35 hours</v>
      </c>
      <c r="AN19" s="28" t="str">
        <f>HLOOKUP($Q$3,$AI$4:$AL$63,16,FALSE)</f>
        <v>Full-time - 35 hours</v>
      </c>
      <c r="AO19" s="71"/>
      <c r="AP19" s="28" t="s">
        <v>45</v>
      </c>
      <c r="AQ19" s="28" t="s">
        <v>45</v>
      </c>
      <c r="AS19" s="28" t="s">
        <v>45</v>
      </c>
    </row>
    <row r="20" spans="1:45" ht="15.75" customHeight="1">
      <c r="A20" s="22" t="s">
        <v>10</v>
      </c>
      <c r="B20" s="23">
        <v>73.89554166666649</v>
      </c>
      <c r="C20" s="24">
        <v>160.22917998913465</v>
      </c>
      <c r="D20" s="33"/>
      <c r="E20" s="24">
        <v>172.68217998913462</v>
      </c>
      <c r="F20" s="24">
        <v>176.71417998913464</v>
      </c>
      <c r="G20" s="24">
        <v>176.00017998913464</v>
      </c>
      <c r="H20" s="24">
        <v>174.82417998913462</v>
      </c>
      <c r="I20" s="17"/>
      <c r="J20" s="68">
        <f>HLOOKUP($J$3,$E$3:$H$243,18,FALSE)</f>
        <v>172.68217998913462</v>
      </c>
      <c r="L20" s="70">
        <f t="shared" si="0"/>
        <v>172.68217998913462</v>
      </c>
      <c r="M20" s="70">
        <f t="shared" si="1"/>
        <v>188.96983895198395</v>
      </c>
      <c r="N20" s="70">
        <f t="shared" si="2"/>
        <v>196.96691095198395</v>
      </c>
      <c r="O20" s="70">
        <f t="shared" si="3"/>
        <v>205.38872811693005</v>
      </c>
      <c r="Q20" s="68">
        <f>HLOOKUP($Q$3,$L$4:$O$63,17,FALSE)</f>
        <v>205.38872811693005</v>
      </c>
      <c r="S20" s="70">
        <f>Q35</f>
        <v>258.43463496624514</v>
      </c>
      <c r="T20" s="70">
        <f>Q50</f>
        <v>190.36463496624515</v>
      </c>
      <c r="V20" s="68">
        <f>HLOOKUP($V$3,$S$3:$T$33,18,FALSE)</f>
        <v>258.43463496624514</v>
      </c>
      <c r="X20" s="22" t="s">
        <v>10</v>
      </c>
      <c r="Y20" s="23">
        <v>73.89554166666649</v>
      </c>
      <c r="Z20" s="24">
        <v>160.22917998913465</v>
      </c>
      <c r="AA20" s="33"/>
      <c r="AB20" s="24">
        <v>48.75740755323736</v>
      </c>
      <c r="AC20" s="24">
        <v>52.78940755323737</v>
      </c>
      <c r="AD20" s="24">
        <v>52.07540755323737</v>
      </c>
      <c r="AE20" s="24">
        <v>50.89940755323735</v>
      </c>
      <c r="AF20" s="17"/>
      <c r="AG20" s="68">
        <f>HLOOKUP($J$3,$AB$3:$AE$243,18,FALSE)</f>
        <v>48.75740755323736</v>
      </c>
      <c r="AI20" s="70">
        <f t="shared" si="6"/>
        <v>48.75740755323736</v>
      </c>
      <c r="AJ20" s="70">
        <f t="shared" si="7"/>
        <v>65.04506651608668</v>
      </c>
      <c r="AK20" s="70">
        <f t="shared" si="8"/>
        <v>73.04213851608668</v>
      </c>
      <c r="AL20" s="70">
        <f t="shared" si="9"/>
        <v>81.46395568103279</v>
      </c>
      <c r="AN20" s="68">
        <f>HLOOKUP($Q$3,$AI$4:$AL$63,17,FALSE)</f>
        <v>81.46395568103279</v>
      </c>
      <c r="AP20" s="70">
        <f>AN35</f>
        <v>91.4713071078857</v>
      </c>
      <c r="AQ20" s="70">
        <f>AN50</f>
        <v>91.46989374938612</v>
      </c>
      <c r="AS20" s="68">
        <f>HLOOKUP($V$3,$AP$3:$AQ$33,18,FALSE)</f>
        <v>91.4713071078857</v>
      </c>
    </row>
    <row r="21" spans="1:45" ht="15.75" customHeight="1">
      <c r="A21" s="22" t="s">
        <v>11</v>
      </c>
      <c r="B21" s="23">
        <v>84.69874493410276</v>
      </c>
      <c r="C21" s="24">
        <v>310.82228415105584</v>
      </c>
      <c r="D21" s="33"/>
      <c r="E21" s="24">
        <v>346.4022841510558</v>
      </c>
      <c r="F21" s="24">
        <v>356.5572841510558</v>
      </c>
      <c r="G21" s="24">
        <v>355.84328415105585</v>
      </c>
      <c r="H21" s="24">
        <v>352.5222841510558</v>
      </c>
      <c r="I21" s="17"/>
      <c r="J21" s="68">
        <f>HLOOKUP($J$3,$E$3:$H$243,19,FALSE)</f>
        <v>346.4022841510558</v>
      </c>
      <c r="L21" s="70">
        <f t="shared" si="0"/>
        <v>346.4022841510558</v>
      </c>
      <c r="M21" s="70">
        <f t="shared" si="1"/>
        <v>445.5153995356712</v>
      </c>
      <c r="N21" s="70">
        <f t="shared" si="2"/>
        <v>508.5719595356712</v>
      </c>
      <c r="O21" s="70">
        <f t="shared" si="3"/>
        <v>587.8261629206713</v>
      </c>
      <c r="Q21" s="68">
        <f>HLOOKUP($Q$3,$L$4:$O$63,18,FALSE)</f>
        <v>587.8261629206713</v>
      </c>
      <c r="S21" s="70">
        <f aca="true" t="shared" si="12" ref="S21:S33">Q36</f>
        <v>609.1307995356713</v>
      </c>
      <c r="T21" s="70">
        <f aca="true" t="shared" si="13" ref="T21:T33">Q51</f>
        <v>531.1062995356713</v>
      </c>
      <c r="V21" s="68">
        <f>HLOOKUP($V$3,$S$3:$T$33,19,FALSE)</f>
        <v>609.1307995356713</v>
      </c>
      <c r="X21" s="22" t="s">
        <v>11</v>
      </c>
      <c r="Y21" s="23">
        <v>84.69874493410276</v>
      </c>
      <c r="Z21" s="24">
        <v>310.82228415105584</v>
      </c>
      <c r="AA21" s="33"/>
      <c r="AB21" s="24">
        <v>161.75430844772228</v>
      </c>
      <c r="AC21" s="24">
        <v>171.90930844772225</v>
      </c>
      <c r="AD21" s="24">
        <v>171.1953084477223</v>
      </c>
      <c r="AE21" s="24">
        <v>167.87430844772229</v>
      </c>
      <c r="AF21" s="17"/>
      <c r="AG21" s="68">
        <f>HLOOKUP($J$3,$AB$3:$AE$243,19,FALSE)</f>
        <v>161.75430844772228</v>
      </c>
      <c r="AI21" s="70">
        <f t="shared" si="6"/>
        <v>161.75430844772228</v>
      </c>
      <c r="AJ21" s="70">
        <f t="shared" si="7"/>
        <v>177.66742383233765</v>
      </c>
      <c r="AK21" s="70">
        <f t="shared" si="8"/>
        <v>174.1639838323377</v>
      </c>
      <c r="AL21" s="70">
        <f t="shared" si="9"/>
        <v>161.8981872173378</v>
      </c>
      <c r="AN21" s="68">
        <f>HLOOKUP($Q$3,$AI$4:$AL$63,18,FALSE)</f>
        <v>161.8981872173378</v>
      </c>
      <c r="AP21" s="70">
        <f aca="true" t="shared" si="14" ref="AP21:AP33">AN36</f>
        <v>190.2639281288337</v>
      </c>
      <c r="AQ21" s="70">
        <f aca="true" t="shared" si="15" ref="AQ21:AQ33">AN51</f>
        <v>190.74310315534285</v>
      </c>
      <c r="AS21" s="68">
        <f>HLOOKUP($V$3,$AP$3:$AQ$33,19,FALSE)</f>
        <v>190.2639281288337</v>
      </c>
    </row>
    <row r="22" spans="1:45" ht="15.75" customHeight="1">
      <c r="A22" s="22" t="s">
        <v>12</v>
      </c>
      <c r="B22" s="23">
        <v>73.89554166666649</v>
      </c>
      <c r="C22" s="24">
        <v>197.47173342795966</v>
      </c>
      <c r="D22" s="33"/>
      <c r="E22" s="24"/>
      <c r="F22" s="24"/>
      <c r="G22" s="24"/>
      <c r="H22" s="24"/>
      <c r="I22" s="17"/>
      <c r="J22" s="68">
        <f>HLOOKUP($J$3,$E$3:$H$243,20,FALSE)</f>
        <v>0</v>
      </c>
      <c r="L22" s="70">
        <f t="shared" si="0"/>
        <v>0</v>
      </c>
      <c r="M22" s="70">
        <f t="shared" si="1"/>
        <v>0</v>
      </c>
      <c r="N22" s="70">
        <f t="shared" si="2"/>
        <v>0</v>
      </c>
      <c r="O22" s="70">
        <f t="shared" si="3"/>
        <v>0</v>
      </c>
      <c r="Q22" s="68">
        <f>HLOOKUP($Q$3,$L$4:$O$63,19,FALSE)</f>
        <v>0</v>
      </c>
      <c r="S22" s="70">
        <f t="shared" si="12"/>
        <v>0</v>
      </c>
      <c r="T22" s="70">
        <f t="shared" si="13"/>
        <v>0</v>
      </c>
      <c r="V22" s="68">
        <f>HLOOKUP($V$3,$S$3:$T$33,20,FALSE)</f>
        <v>0</v>
      </c>
      <c r="X22" s="22" t="s">
        <v>12</v>
      </c>
      <c r="Y22" s="23">
        <v>73.89554166666649</v>
      </c>
      <c r="Z22" s="24">
        <v>197.47173342795966</v>
      </c>
      <c r="AA22" s="33"/>
      <c r="AB22" s="24"/>
      <c r="AC22" s="24"/>
      <c r="AD22" s="24"/>
      <c r="AE22" s="24"/>
      <c r="AF22" s="17"/>
      <c r="AG22" s="68">
        <f>HLOOKUP($J$3,$AB$3:$AE$243,20,FALSE)</f>
        <v>0</v>
      </c>
      <c r="AI22" s="70">
        <f t="shared" si="6"/>
        <v>0</v>
      </c>
      <c r="AJ22" s="70">
        <f t="shared" si="7"/>
        <v>0</v>
      </c>
      <c r="AK22" s="70">
        <f t="shared" si="8"/>
        <v>0</v>
      </c>
      <c r="AL22" s="70">
        <f t="shared" si="9"/>
        <v>0</v>
      </c>
      <c r="AN22" s="68">
        <f>HLOOKUP($Q$3,$AI$4:$AL$63,19,FALSE)</f>
        <v>0</v>
      </c>
      <c r="AP22" s="70">
        <f t="shared" si="14"/>
        <v>0</v>
      </c>
      <c r="AQ22" s="70">
        <f t="shared" si="15"/>
        <v>0</v>
      </c>
      <c r="AS22" s="68">
        <f>HLOOKUP($V$3,$AP$3:$AQ$33,20,FALSE)</f>
        <v>0</v>
      </c>
    </row>
    <row r="23" spans="1:45" ht="15.75" customHeight="1">
      <c r="A23" s="22" t="s">
        <v>13</v>
      </c>
      <c r="B23" s="23">
        <v>84.69874493410276</v>
      </c>
      <c r="C23" s="24">
        <v>348.0648375898808</v>
      </c>
      <c r="D23" s="33"/>
      <c r="E23" s="24"/>
      <c r="F23" s="24"/>
      <c r="G23" s="24"/>
      <c r="H23" s="24"/>
      <c r="I23" s="17"/>
      <c r="J23" s="68">
        <f>HLOOKUP($J$3,$E$3:$H$243,21,FALSE)</f>
        <v>0</v>
      </c>
      <c r="L23" s="70">
        <f t="shared" si="0"/>
        <v>0</v>
      </c>
      <c r="M23" s="70">
        <f t="shared" si="1"/>
        <v>0</v>
      </c>
      <c r="N23" s="70">
        <f t="shared" si="2"/>
        <v>0</v>
      </c>
      <c r="O23" s="70">
        <f t="shared" si="3"/>
        <v>0</v>
      </c>
      <c r="Q23" s="68">
        <f>HLOOKUP($Q$3,$L$4:$O$63,20,FALSE)</f>
        <v>0</v>
      </c>
      <c r="S23" s="70">
        <f t="shared" si="12"/>
        <v>0</v>
      </c>
      <c r="T23" s="70">
        <f t="shared" si="13"/>
        <v>0</v>
      </c>
      <c r="V23" s="68">
        <f>HLOOKUP($V$3,$S$3:$T$33,21,FALSE)</f>
        <v>0</v>
      </c>
      <c r="X23" s="22" t="s">
        <v>13</v>
      </c>
      <c r="Y23" s="23">
        <v>84.69874493410276</v>
      </c>
      <c r="Z23" s="24">
        <v>348.0648375898808</v>
      </c>
      <c r="AA23" s="33"/>
      <c r="AB23" s="24"/>
      <c r="AC23" s="24"/>
      <c r="AD23" s="24"/>
      <c r="AE23" s="24"/>
      <c r="AF23" s="17"/>
      <c r="AG23" s="68">
        <f>HLOOKUP($J$3,$AB$3:$AE$243,21,FALSE)</f>
        <v>0</v>
      </c>
      <c r="AI23" s="70">
        <f t="shared" si="6"/>
        <v>0</v>
      </c>
      <c r="AJ23" s="70">
        <f t="shared" si="7"/>
        <v>0</v>
      </c>
      <c r="AK23" s="70">
        <f t="shared" si="8"/>
        <v>0</v>
      </c>
      <c r="AL23" s="70">
        <f t="shared" si="9"/>
        <v>0</v>
      </c>
      <c r="AN23" s="68">
        <f>HLOOKUP($Q$3,$AI$4:$AL$63,20,FALSE)</f>
        <v>0</v>
      </c>
      <c r="AP23" s="70">
        <f t="shared" si="14"/>
        <v>0</v>
      </c>
      <c r="AQ23" s="70">
        <f t="shared" si="15"/>
        <v>0</v>
      </c>
      <c r="AS23" s="68">
        <f>HLOOKUP($V$3,$AP$3:$AQ$33,21,FALSE)</f>
        <v>0</v>
      </c>
    </row>
    <row r="24" spans="1:45" ht="15.75" customHeight="1">
      <c r="A24" s="22" t="s">
        <v>14</v>
      </c>
      <c r="B24" s="23">
        <v>73.89554166666649</v>
      </c>
      <c r="C24" s="24"/>
      <c r="D24" s="33"/>
      <c r="E24" s="24">
        <v>216.42473342795964</v>
      </c>
      <c r="F24" s="24">
        <v>220.45673342795965</v>
      </c>
      <c r="G24" s="24">
        <v>219.74273342795965</v>
      </c>
      <c r="H24" s="24">
        <v>218.56673342795963</v>
      </c>
      <c r="I24" s="17"/>
      <c r="J24" s="68">
        <f>HLOOKUP($J$3,$E$3:$H$243,22,FALSE)</f>
        <v>216.42473342795964</v>
      </c>
      <c r="L24" s="70">
        <f t="shared" si="0"/>
        <v>216.42473342795964</v>
      </c>
      <c r="M24" s="70">
        <f t="shared" si="1"/>
        <v>237.12233922353394</v>
      </c>
      <c r="N24" s="70">
        <f t="shared" si="2"/>
        <v>248.31312400979743</v>
      </c>
      <c r="O24" s="70">
        <f t="shared" si="3"/>
        <v>250.1969116373686</v>
      </c>
      <c r="Q24" s="68">
        <f>HLOOKUP($Q$3,$L$4:$O$63,21,FALSE)</f>
        <v>250.1969116373686</v>
      </c>
      <c r="S24" s="70">
        <f t="shared" si="12"/>
        <v>303.24281848668363</v>
      </c>
      <c r="T24" s="70">
        <f t="shared" si="13"/>
        <v>235.17281848668364</v>
      </c>
      <c r="V24" s="68">
        <f>HLOOKUP($V$3,$S$3:$T$33,22,FALSE)</f>
        <v>303.24281848668363</v>
      </c>
      <c r="X24" s="22" t="s">
        <v>14</v>
      </c>
      <c r="Y24" s="23">
        <v>73.89554166666649</v>
      </c>
      <c r="Z24" s="24"/>
      <c r="AA24" s="33"/>
      <c r="AB24" s="24">
        <v>92.49996099206237</v>
      </c>
      <c r="AC24" s="24">
        <v>96.53196099206238</v>
      </c>
      <c r="AD24" s="24">
        <v>95.81796099206238</v>
      </c>
      <c r="AE24" s="24">
        <v>94.64196099206237</v>
      </c>
      <c r="AF24" s="17"/>
      <c r="AG24" s="68">
        <f>HLOOKUP($J$3,$AB$3:$AE$243,22,FALSE)</f>
        <v>92.49996099206237</v>
      </c>
      <c r="AI24" s="70">
        <f t="shared" si="6"/>
        <v>92.49996099206237</v>
      </c>
      <c r="AJ24" s="70">
        <f t="shared" si="7"/>
        <v>113.19756678763667</v>
      </c>
      <c r="AK24" s="70">
        <f t="shared" si="8"/>
        <v>124.38835157390017</v>
      </c>
      <c r="AL24" s="70">
        <f t="shared" si="9"/>
        <v>126.27213920147133</v>
      </c>
      <c r="AN24" s="68">
        <f>HLOOKUP($Q$3,$AI$4:$AL$63,21,FALSE)</f>
        <v>126.27213920147133</v>
      </c>
      <c r="AP24" s="70">
        <f t="shared" si="14"/>
        <v>136.2794906283242</v>
      </c>
      <c r="AQ24" s="70">
        <f t="shared" si="15"/>
        <v>136.27807726982462</v>
      </c>
      <c r="AS24" s="68">
        <f>HLOOKUP($V$3,$AP$3:$AQ$33,22,FALSE)</f>
        <v>136.2794906283242</v>
      </c>
    </row>
    <row r="25" spans="1:45" ht="15.75" customHeight="1">
      <c r="A25" s="22" t="s">
        <v>15</v>
      </c>
      <c r="B25" s="23">
        <v>73.89554166666649</v>
      </c>
      <c r="C25" s="24"/>
      <c r="D25" s="33"/>
      <c r="E25" s="24">
        <v>228.87773342795964</v>
      </c>
      <c r="F25" s="24">
        <v>236.94173342795966</v>
      </c>
      <c r="G25" s="24">
        <v>235.51373342795964</v>
      </c>
      <c r="H25" s="24">
        <v>233.16173342795963</v>
      </c>
      <c r="I25" s="17"/>
      <c r="J25" s="68">
        <f>HLOOKUP($J$3,$E$3:$H$243,23,FALSE)</f>
        <v>228.87773342795964</v>
      </c>
      <c r="L25" s="70">
        <f t="shared" si="0"/>
        <v>228.87773342795964</v>
      </c>
      <c r="M25" s="70">
        <f t="shared" si="1"/>
        <v>256.4456520097974</v>
      </c>
      <c r="N25" s="70">
        <f t="shared" si="2"/>
        <v>283.84319999999997</v>
      </c>
      <c r="O25" s="70">
        <f t="shared" si="3"/>
        <v>373.128</v>
      </c>
      <c r="Q25" s="68">
        <f>HLOOKUP($Q$3,$L$4:$O$63,22,FALSE)</f>
        <v>373.128</v>
      </c>
      <c r="S25" s="70">
        <f t="shared" si="12"/>
        <v>373.128</v>
      </c>
      <c r="T25" s="70">
        <f t="shared" si="13"/>
        <v>373.128</v>
      </c>
      <c r="V25" s="68">
        <f>HLOOKUP($V$3,$S$3:$T$33,23,FALSE)</f>
        <v>373.128</v>
      </c>
      <c r="X25" s="22" t="s">
        <v>15</v>
      </c>
      <c r="Y25" s="23">
        <v>73.89554166666649</v>
      </c>
      <c r="Z25" s="24"/>
      <c r="AA25" s="33"/>
      <c r="AB25" s="24">
        <v>78.19296099206238</v>
      </c>
      <c r="AC25" s="24">
        <v>86.2569609920624</v>
      </c>
      <c r="AD25" s="24">
        <v>84.82896099206238</v>
      </c>
      <c r="AE25" s="24">
        <v>82.47696099206237</v>
      </c>
      <c r="AF25" s="17"/>
      <c r="AG25" s="68">
        <f>HLOOKUP($J$3,$AB$3:$AE$243,23,FALSE)</f>
        <v>78.19296099206238</v>
      </c>
      <c r="AI25" s="70">
        <f t="shared" si="6"/>
        <v>78.19296099206238</v>
      </c>
      <c r="AJ25" s="70">
        <f t="shared" si="7"/>
        <v>105.76087957390016</v>
      </c>
      <c r="AK25" s="70">
        <f t="shared" si="8"/>
        <v>133.1584275641027</v>
      </c>
      <c r="AL25" s="70">
        <f t="shared" si="9"/>
        <v>222.44322756410273</v>
      </c>
      <c r="AN25" s="68">
        <f>HLOOKUP($Q$3,$AI$4:$AL$63,22,FALSE)</f>
        <v>222.44322756410273</v>
      </c>
      <c r="AP25" s="70">
        <f t="shared" si="14"/>
        <v>189.40467214164056</v>
      </c>
      <c r="AQ25" s="70">
        <f t="shared" si="15"/>
        <v>257.473258783141</v>
      </c>
      <c r="AS25" s="68">
        <f>HLOOKUP($V$3,$AP$3:$AQ$33,23,FALSE)</f>
        <v>189.40467214164056</v>
      </c>
    </row>
    <row r="26" spans="1:45" ht="15.75" customHeight="1">
      <c r="A26" s="22" t="s">
        <v>16</v>
      </c>
      <c r="B26" s="23">
        <v>84.69874493410276</v>
      </c>
      <c r="C26" s="24"/>
      <c r="D26" s="33"/>
      <c r="E26" s="24">
        <v>376.7678375898808</v>
      </c>
      <c r="F26" s="24">
        <v>380.7998375898808</v>
      </c>
      <c r="G26" s="24">
        <v>380.08583758988084</v>
      </c>
      <c r="H26" s="24">
        <v>378.9098375898808</v>
      </c>
      <c r="I26" s="17"/>
      <c r="J26" s="68">
        <f>HLOOKUP($J$3,$E$3:$H$243,24,FALSE)</f>
        <v>376.7678375898808</v>
      </c>
      <c r="L26" s="70">
        <f t="shared" si="0"/>
        <v>376.7678375898808</v>
      </c>
      <c r="M26" s="70">
        <f t="shared" si="1"/>
        <v>397.4654433854551</v>
      </c>
      <c r="N26" s="70">
        <f t="shared" si="2"/>
        <v>405.6703340800336</v>
      </c>
      <c r="O26" s="70">
        <f t="shared" si="3"/>
        <v>415.6099056577798</v>
      </c>
      <c r="Q26" s="68">
        <f>HLOOKUP($Q$3,$L$4:$O$63,23,FALSE)</f>
        <v>415.6099056577798</v>
      </c>
      <c r="S26" s="70">
        <f t="shared" si="12"/>
        <v>477.36581250709486</v>
      </c>
      <c r="T26" s="70">
        <f t="shared" si="13"/>
        <v>398.85581250709487</v>
      </c>
      <c r="V26" s="68">
        <f>HLOOKUP($V$3,$S$3:$T$33,24,FALSE)</f>
        <v>477.36581250709486</v>
      </c>
      <c r="X26" s="22" t="s">
        <v>16</v>
      </c>
      <c r="Y26" s="23">
        <v>84.69874493410276</v>
      </c>
      <c r="Z26" s="24"/>
      <c r="AA26" s="33"/>
      <c r="AB26" s="24">
        <v>242.03986188654727</v>
      </c>
      <c r="AC26" s="24">
        <v>246.07186188654725</v>
      </c>
      <c r="AD26" s="24">
        <v>245.3578618865473</v>
      </c>
      <c r="AE26" s="24">
        <v>244.18186188654727</v>
      </c>
      <c r="AF26" s="17"/>
      <c r="AG26" s="68">
        <f>HLOOKUP($J$3,$AB$3:$AE$243,24,FALSE)</f>
        <v>242.03986188654727</v>
      </c>
      <c r="AI26" s="70">
        <f t="shared" si="6"/>
        <v>242.03986188654727</v>
      </c>
      <c r="AJ26" s="70">
        <f t="shared" si="7"/>
        <v>262.7374676821216</v>
      </c>
      <c r="AK26" s="70">
        <f t="shared" si="8"/>
        <v>270.9423583767001</v>
      </c>
      <c r="AL26" s="70">
        <f t="shared" si="9"/>
        <v>280.88192995444626</v>
      </c>
      <c r="AN26" s="68">
        <f>HLOOKUP($Q$3,$AI$4:$AL$63,23,FALSE)</f>
        <v>280.88192995444626</v>
      </c>
      <c r="AP26" s="70">
        <f t="shared" si="14"/>
        <v>290.8989411002573</v>
      </c>
      <c r="AQ26" s="70">
        <f t="shared" si="15"/>
        <v>290.8926161267664</v>
      </c>
      <c r="AS26" s="68">
        <f>HLOOKUP($V$3,$AP$3:$AQ$33,24,FALSE)</f>
        <v>290.8989411002573</v>
      </c>
    </row>
    <row r="27" spans="1:45" ht="15.75" customHeight="1">
      <c r="A27" s="22" t="s">
        <v>17</v>
      </c>
      <c r="B27" s="23">
        <v>84.69874493410276</v>
      </c>
      <c r="C27" s="24"/>
      <c r="D27" s="33"/>
      <c r="E27" s="24">
        <v>389.2208375898808</v>
      </c>
      <c r="F27" s="24">
        <v>397.2848375898808</v>
      </c>
      <c r="G27" s="24">
        <v>395.8568375898808</v>
      </c>
      <c r="H27" s="24">
        <v>393.5048375898808</v>
      </c>
      <c r="I27" s="17"/>
      <c r="J27" s="68">
        <f>HLOOKUP($J$3,$E$3:$H$243,25,FALSE)</f>
        <v>389.2208375898808</v>
      </c>
      <c r="L27" s="70">
        <f t="shared" si="0"/>
        <v>389.2208375898808</v>
      </c>
      <c r="M27" s="70">
        <f t="shared" si="1"/>
        <v>502.9659529744962</v>
      </c>
      <c r="N27" s="70">
        <f t="shared" si="2"/>
        <v>582.4870729744962</v>
      </c>
      <c r="O27" s="70">
        <f t="shared" si="3"/>
        <v>677.3661163594962</v>
      </c>
      <c r="Q27" s="68">
        <f>HLOOKUP($Q$3,$L$4:$O$63,24,FALSE)</f>
        <v>677.3661163594962</v>
      </c>
      <c r="S27" s="70">
        <f t="shared" si="12"/>
        <v>698.6707529744962</v>
      </c>
      <c r="T27" s="70">
        <f t="shared" si="13"/>
        <v>620.1607529744962</v>
      </c>
      <c r="V27" s="68">
        <f>HLOOKUP($V$3,$S$3:$T$33,25,FALSE)</f>
        <v>698.6707529744962</v>
      </c>
      <c r="X27" s="22" t="s">
        <v>17</v>
      </c>
      <c r="Y27" s="23">
        <v>84.69874493410276</v>
      </c>
      <c r="Z27" s="24"/>
      <c r="AA27" s="33"/>
      <c r="AB27" s="24">
        <v>177.81286188654724</v>
      </c>
      <c r="AC27" s="24">
        <v>185.87686188654726</v>
      </c>
      <c r="AD27" s="24">
        <v>184.44886188654726</v>
      </c>
      <c r="AE27" s="24">
        <v>182.0968618865473</v>
      </c>
      <c r="AF27" s="17"/>
      <c r="AG27" s="68">
        <f>HLOOKUP($J$3,$AB$3:$AE$243,25,FALSE)</f>
        <v>177.81286188654724</v>
      </c>
      <c r="AI27" s="70">
        <f t="shared" si="6"/>
        <v>177.81286188654724</v>
      </c>
      <c r="AJ27" s="70">
        <f t="shared" si="7"/>
        <v>208.3579772711626</v>
      </c>
      <c r="AK27" s="70">
        <f t="shared" si="8"/>
        <v>221.31909727116266</v>
      </c>
      <c r="AL27" s="70">
        <f t="shared" si="9"/>
        <v>224.67814065616273</v>
      </c>
      <c r="AN27" s="68">
        <f>HLOOKUP($Q$3,$AI$4:$AL$63,24,FALSE)</f>
        <v>224.67814065616273</v>
      </c>
      <c r="AP27" s="70">
        <f t="shared" si="14"/>
        <v>263.0438815676586</v>
      </c>
      <c r="AQ27" s="70">
        <f t="shared" si="15"/>
        <v>263.03755659416777</v>
      </c>
      <c r="AS27" s="68">
        <f>HLOOKUP($V$3,$AP$3:$AQ$33,25,FALSE)</f>
        <v>263.0438815676586</v>
      </c>
    </row>
    <row r="28" spans="1:45" ht="15.75" customHeight="1">
      <c r="A28" s="22" t="s">
        <v>18</v>
      </c>
      <c r="B28" s="23">
        <v>98.21647328478267</v>
      </c>
      <c r="C28" s="24"/>
      <c r="D28" s="33"/>
      <c r="E28" s="24">
        <v>390.28783758988084</v>
      </c>
      <c r="F28" s="24">
        <v>394.3198375898808</v>
      </c>
      <c r="G28" s="24">
        <v>393.6058375898809</v>
      </c>
      <c r="H28" s="24">
        <v>392.42983758988083</v>
      </c>
      <c r="I28" s="17"/>
      <c r="J28" s="68">
        <f>HLOOKUP($J$3,$E$3:$H$243,26,FALSE)</f>
        <v>390.28783758988084</v>
      </c>
      <c r="L28" s="70">
        <f t="shared" si="0"/>
        <v>390.28783758988084</v>
      </c>
      <c r="M28" s="70">
        <f t="shared" si="1"/>
        <v>410.98544338545514</v>
      </c>
      <c r="N28" s="70">
        <f t="shared" si="2"/>
        <v>419.1903340800336</v>
      </c>
      <c r="O28" s="70">
        <f t="shared" si="3"/>
        <v>429.1299056577798</v>
      </c>
      <c r="Q28" s="68">
        <f>HLOOKUP($Q$3,$L$4:$O$63,25,FALSE)</f>
        <v>429.1299056577798</v>
      </c>
      <c r="S28" s="70">
        <f t="shared" si="12"/>
        <v>495.18581250709485</v>
      </c>
      <c r="T28" s="70">
        <f t="shared" si="13"/>
        <v>407.14581250709483</v>
      </c>
      <c r="V28" s="68">
        <f>HLOOKUP($V$3,$S$3:$T$33,26,FALSE)</f>
        <v>495.18581250709485</v>
      </c>
      <c r="X28" s="22" t="s">
        <v>18</v>
      </c>
      <c r="Y28" s="23">
        <v>98.21647328478267</v>
      </c>
      <c r="Z28" s="24"/>
      <c r="AA28" s="33"/>
      <c r="AB28" s="24">
        <v>242.0421335358674</v>
      </c>
      <c r="AC28" s="24">
        <v>246.0741335358674</v>
      </c>
      <c r="AD28" s="24">
        <v>245.36013353586745</v>
      </c>
      <c r="AE28" s="24">
        <v>244.1841335358674</v>
      </c>
      <c r="AF28" s="17"/>
      <c r="AG28" s="68">
        <f>HLOOKUP($J$3,$AB$3:$AE$243,26,FALSE)</f>
        <v>242.0421335358674</v>
      </c>
      <c r="AI28" s="70">
        <f t="shared" si="6"/>
        <v>242.0421335358674</v>
      </c>
      <c r="AJ28" s="70">
        <f t="shared" si="7"/>
        <v>262.7397393314417</v>
      </c>
      <c r="AK28" s="70">
        <f t="shared" si="8"/>
        <v>270.94463002602015</v>
      </c>
      <c r="AL28" s="70">
        <f t="shared" si="9"/>
        <v>280.8842016037663</v>
      </c>
      <c r="AN28" s="68">
        <f>HLOOKUP($Q$3,$AI$4:$AL$63,25,FALSE)</f>
        <v>280.8842016037663</v>
      </c>
      <c r="AP28" s="70">
        <f t="shared" si="14"/>
        <v>290.89017927975704</v>
      </c>
      <c r="AQ28" s="70">
        <f t="shared" si="15"/>
        <v>290.89287499395584</v>
      </c>
      <c r="AS28" s="68">
        <f>HLOOKUP($V$3,$AP$3:$AQ$33,26,FALSE)</f>
        <v>290.89017927975704</v>
      </c>
    </row>
    <row r="29" spans="1:45" ht="15.75" customHeight="1">
      <c r="A29" s="22" t="s">
        <v>19</v>
      </c>
      <c r="B29" s="23">
        <v>98.21647328478267</v>
      </c>
      <c r="C29" s="24"/>
      <c r="D29" s="33"/>
      <c r="E29" s="24">
        <v>402.7408375898808</v>
      </c>
      <c r="F29" s="24">
        <v>410.80483758988083</v>
      </c>
      <c r="G29" s="24">
        <v>409.3768375898809</v>
      </c>
      <c r="H29" s="24">
        <v>407.0248375898808</v>
      </c>
      <c r="I29" s="17"/>
      <c r="J29" s="68">
        <f>HLOOKUP($J$3,$E$3:$H$243,27,FALSE)</f>
        <v>402.7408375898808</v>
      </c>
      <c r="L29" s="70">
        <f t="shared" si="0"/>
        <v>402.7408375898808</v>
      </c>
      <c r="M29" s="70">
        <f t="shared" si="1"/>
        <v>516.4859529744962</v>
      </c>
      <c r="N29" s="70">
        <f t="shared" si="2"/>
        <v>596.0070729744962</v>
      </c>
      <c r="O29" s="70">
        <f t="shared" si="3"/>
        <v>690.8861163594962</v>
      </c>
      <c r="Q29" s="68">
        <f>HLOOKUP($Q$3,$L$4:$O$63,26,FALSE)</f>
        <v>690.8861163594962</v>
      </c>
      <c r="S29" s="70">
        <f t="shared" si="12"/>
        <v>716.4907529744962</v>
      </c>
      <c r="T29" s="70">
        <f t="shared" si="13"/>
        <v>628.4507529744961</v>
      </c>
      <c r="V29" s="68">
        <f>HLOOKUP($V$3,$S$3:$T$33,27,FALSE)</f>
        <v>716.4907529744962</v>
      </c>
      <c r="X29" s="22" t="s">
        <v>19</v>
      </c>
      <c r="Y29" s="23">
        <v>98.21647328478267</v>
      </c>
      <c r="Z29" s="24"/>
      <c r="AA29" s="33"/>
      <c r="AB29" s="24">
        <v>177.81513353586737</v>
      </c>
      <c r="AC29" s="24">
        <v>185.8791335358674</v>
      </c>
      <c r="AD29" s="24">
        <v>184.45113353586746</v>
      </c>
      <c r="AE29" s="24">
        <v>182.09913353586737</v>
      </c>
      <c r="AF29" s="17"/>
      <c r="AG29" s="68">
        <f>HLOOKUP($J$3,$AB$3:$AE$243,27,FALSE)</f>
        <v>177.81513353586737</v>
      </c>
      <c r="AI29" s="70">
        <f t="shared" si="6"/>
        <v>177.81513353586737</v>
      </c>
      <c r="AJ29" s="70">
        <f t="shared" si="7"/>
        <v>208.36024892048272</v>
      </c>
      <c r="AK29" s="70">
        <f t="shared" si="8"/>
        <v>221.3213689204827</v>
      </c>
      <c r="AL29" s="70">
        <f t="shared" si="9"/>
        <v>224.68041230548278</v>
      </c>
      <c r="AN29" s="68">
        <f>HLOOKUP($Q$3,$AI$4:$AL$63,26,FALSE)</f>
        <v>224.68041230548278</v>
      </c>
      <c r="AP29" s="70">
        <f t="shared" si="14"/>
        <v>263.03511974715843</v>
      </c>
      <c r="AQ29" s="70">
        <f t="shared" si="15"/>
        <v>263.0378154613572</v>
      </c>
      <c r="AS29" s="68">
        <f>HLOOKUP($V$3,$AP$3:$AQ$33,27,FALSE)</f>
        <v>263.03511974715843</v>
      </c>
    </row>
    <row r="30" spans="1:45" ht="15.75" customHeight="1">
      <c r="A30" s="22" t="s">
        <v>20</v>
      </c>
      <c r="B30" s="23">
        <v>98.21647328478267</v>
      </c>
      <c r="C30" s="24"/>
      <c r="D30" s="33"/>
      <c r="E30" s="24">
        <v>455.25046979390584</v>
      </c>
      <c r="F30" s="24">
        <v>459.2824697939059</v>
      </c>
      <c r="G30" s="24">
        <v>458.5684697939059</v>
      </c>
      <c r="H30" s="24">
        <v>457.39246979390583</v>
      </c>
      <c r="I30" s="17"/>
      <c r="J30" s="68">
        <f>HLOOKUP($J$3,$E$3:$H$243,28,FALSE)</f>
        <v>455.25046979390584</v>
      </c>
      <c r="L30" s="70">
        <f t="shared" si="0"/>
        <v>455.25046979390584</v>
      </c>
      <c r="M30" s="70">
        <f t="shared" si="1"/>
        <v>475.94807558948014</v>
      </c>
      <c r="N30" s="70">
        <f t="shared" si="2"/>
        <v>486.08473607803506</v>
      </c>
      <c r="O30" s="70">
        <f t="shared" si="3"/>
        <v>496.02430765578123</v>
      </c>
      <c r="Q30" s="68">
        <f>HLOOKUP($Q$3,$L$4:$O$63,27,FALSE)</f>
        <v>496.02430765578123</v>
      </c>
      <c r="S30" s="70">
        <f t="shared" si="12"/>
        <v>562.0802145050963</v>
      </c>
      <c r="T30" s="70">
        <f t="shared" si="13"/>
        <v>474.04021450509623</v>
      </c>
      <c r="V30" s="68">
        <f>HLOOKUP($V$3,$S$3:$T$33,28,FALSE)</f>
        <v>562.0802145050963</v>
      </c>
      <c r="X30" s="22" t="s">
        <v>20</v>
      </c>
      <c r="Y30" s="23">
        <v>98.21647328478267</v>
      </c>
      <c r="Z30" s="24"/>
      <c r="AA30" s="33"/>
      <c r="AB30" s="24">
        <v>307.0047657398924</v>
      </c>
      <c r="AC30" s="24">
        <v>311.0367657398924</v>
      </c>
      <c r="AD30" s="24">
        <v>310.3227657398925</v>
      </c>
      <c r="AE30" s="24">
        <v>309.14676573989243</v>
      </c>
      <c r="AF30" s="17"/>
      <c r="AG30" s="68">
        <f>HLOOKUP($J$3,$AB$3:$AE$243,28,FALSE)</f>
        <v>307.0047657398924</v>
      </c>
      <c r="AI30" s="70">
        <f t="shared" si="6"/>
        <v>307.0047657398924</v>
      </c>
      <c r="AJ30" s="70">
        <f t="shared" si="7"/>
        <v>327.7023715354667</v>
      </c>
      <c r="AK30" s="70">
        <f t="shared" si="8"/>
        <v>337.83903202402166</v>
      </c>
      <c r="AL30" s="70">
        <f t="shared" si="9"/>
        <v>347.7786036017678</v>
      </c>
      <c r="AN30" s="68">
        <f>HLOOKUP($Q$3,$AI$4:$AL$63,27,FALSE)</f>
        <v>347.7786036017678</v>
      </c>
      <c r="AP30" s="70">
        <f t="shared" si="14"/>
        <v>357.78458127775843</v>
      </c>
      <c r="AQ30" s="70">
        <f t="shared" si="15"/>
        <v>357.78727699195724</v>
      </c>
      <c r="AS30" s="68">
        <f>HLOOKUP($V$3,$AP$3:$AQ$33,28,FALSE)</f>
        <v>357.78458127775843</v>
      </c>
    </row>
    <row r="31" spans="1:45" ht="15.75" customHeight="1">
      <c r="A31" s="22" t="s">
        <v>21</v>
      </c>
      <c r="B31" s="23">
        <v>98.21647328478267</v>
      </c>
      <c r="C31" s="24"/>
      <c r="D31" s="33"/>
      <c r="E31" s="24">
        <v>467.7034697939058</v>
      </c>
      <c r="F31" s="24">
        <v>475.76746979390583</v>
      </c>
      <c r="G31" s="24">
        <v>474.3394697939059</v>
      </c>
      <c r="H31" s="24">
        <v>471.9874697939058</v>
      </c>
      <c r="I31" s="17"/>
      <c r="J31" s="68">
        <f>HLOOKUP($J$3,$E$3:$H$243,29,FALSE)</f>
        <v>467.7034697939058</v>
      </c>
      <c r="L31" s="70">
        <f t="shared" si="0"/>
        <v>467.7034697939058</v>
      </c>
      <c r="M31" s="70">
        <f t="shared" si="1"/>
        <v>628.0405851785213</v>
      </c>
      <c r="N31" s="70">
        <f t="shared" si="2"/>
        <v>724.5990685635213</v>
      </c>
      <c r="O31" s="70">
        <f t="shared" si="3"/>
        <v>755.8487485635212</v>
      </c>
      <c r="Q31" s="68">
        <f>HLOOKUP($Q$3,$L$4:$O$63,28,FALSE)</f>
        <v>755.8487485635212</v>
      </c>
      <c r="S31" s="70">
        <f t="shared" si="12"/>
        <v>822.1787485635214</v>
      </c>
      <c r="T31" s="70">
        <f t="shared" si="13"/>
        <v>734.1387485635212</v>
      </c>
      <c r="V31" s="68">
        <f>HLOOKUP($V$3,$S$3:$T$33,29,FALSE)</f>
        <v>822.1787485635214</v>
      </c>
      <c r="X31" s="22" t="s">
        <v>21</v>
      </c>
      <c r="Y31" s="23">
        <v>98.21647328478267</v>
      </c>
      <c r="Z31" s="24"/>
      <c r="AA31" s="33"/>
      <c r="AB31" s="24">
        <v>217.81776573989237</v>
      </c>
      <c r="AC31" s="24">
        <v>225.8817657398924</v>
      </c>
      <c r="AD31" s="24">
        <v>224.45376573989245</v>
      </c>
      <c r="AE31" s="24">
        <v>222.10176573989236</v>
      </c>
      <c r="AF31" s="17"/>
      <c r="AG31" s="68">
        <f>HLOOKUP($J$3,$AB$3:$AE$243,29,FALSE)</f>
        <v>217.81776573989237</v>
      </c>
      <c r="AI31" s="70">
        <f t="shared" si="6"/>
        <v>217.81776573989237</v>
      </c>
      <c r="AJ31" s="70">
        <f t="shared" si="7"/>
        <v>253.3548811245078</v>
      </c>
      <c r="AK31" s="70">
        <f t="shared" si="8"/>
        <v>250.07336450950794</v>
      </c>
      <c r="AL31" s="70">
        <f t="shared" si="9"/>
        <v>144.0430445095078</v>
      </c>
      <c r="AN31" s="68">
        <f>HLOOKUP($Q$3,$AI$4:$AL$63,28,FALSE)</f>
        <v>144.0430445095078</v>
      </c>
      <c r="AP31" s="70">
        <f t="shared" si="14"/>
        <v>252.52311533618354</v>
      </c>
      <c r="AQ31" s="70">
        <f t="shared" si="15"/>
        <v>252.52581105038223</v>
      </c>
      <c r="AS31" s="68">
        <f>HLOOKUP($V$3,$AP$3:$AQ$33,29,FALSE)</f>
        <v>252.52311533618354</v>
      </c>
    </row>
    <row r="32" spans="1:45" ht="15.75" customHeight="1">
      <c r="A32" s="22" t="s">
        <v>22</v>
      </c>
      <c r="B32" s="23">
        <v>98.21647328478267</v>
      </c>
      <c r="C32" s="24"/>
      <c r="D32" s="33"/>
      <c r="E32" s="24">
        <v>516.9631019979308</v>
      </c>
      <c r="F32" s="24">
        <v>520.9951019979309</v>
      </c>
      <c r="G32" s="24">
        <v>520.2811019979309</v>
      </c>
      <c r="H32" s="24">
        <v>519.1051019979309</v>
      </c>
      <c r="I32" s="17"/>
      <c r="J32" s="68">
        <f>HLOOKUP($J$3,$E$3:$H$243,30,FALSE)</f>
        <v>516.9631019979308</v>
      </c>
      <c r="L32" s="70">
        <f t="shared" si="0"/>
        <v>516.9631019979308</v>
      </c>
      <c r="M32" s="70">
        <f t="shared" si="1"/>
        <v>537.6607077935051</v>
      </c>
      <c r="N32" s="70">
        <f t="shared" si="2"/>
        <v>549.7291380760364</v>
      </c>
      <c r="O32" s="70">
        <f t="shared" si="3"/>
        <v>559.6687096537826</v>
      </c>
      <c r="Q32" s="68">
        <f>HLOOKUP($Q$3,$L$4:$O$63,29,FALSE)</f>
        <v>559.6687096537826</v>
      </c>
      <c r="S32" s="70">
        <f t="shared" si="12"/>
        <v>625.7246165030976</v>
      </c>
      <c r="T32" s="70">
        <f t="shared" si="13"/>
        <v>537.6846165030977</v>
      </c>
      <c r="V32" s="68">
        <f>HLOOKUP($V$3,$S$3:$T$33,30,FALSE)</f>
        <v>625.7246165030976</v>
      </c>
      <c r="X32" s="22" t="s">
        <v>22</v>
      </c>
      <c r="Y32" s="23">
        <v>98.21647328478267</v>
      </c>
      <c r="Z32" s="24"/>
      <c r="AA32" s="33"/>
      <c r="AB32" s="24">
        <v>368.7173979439174</v>
      </c>
      <c r="AC32" s="24">
        <v>372.7493979439174</v>
      </c>
      <c r="AD32" s="24">
        <v>372.0353979439175</v>
      </c>
      <c r="AE32" s="24">
        <v>370.85939794391743</v>
      </c>
      <c r="AF32" s="17"/>
      <c r="AG32" s="68">
        <f>HLOOKUP($J$3,$AB$3:$AE$243,30,FALSE)</f>
        <v>368.7173979439174</v>
      </c>
      <c r="AI32" s="70">
        <f t="shared" si="6"/>
        <v>368.7173979439174</v>
      </c>
      <c r="AJ32" s="70">
        <f t="shared" si="7"/>
        <v>389.4150037394917</v>
      </c>
      <c r="AK32" s="70">
        <f t="shared" si="8"/>
        <v>401.48343402202295</v>
      </c>
      <c r="AL32" s="70">
        <f t="shared" si="9"/>
        <v>411.4230055997691</v>
      </c>
      <c r="AN32" s="68">
        <f>HLOOKUP($Q$3,$AI$4:$AL$63,29,FALSE)</f>
        <v>411.4230055997691</v>
      </c>
      <c r="AP32" s="70">
        <f t="shared" si="14"/>
        <v>421.42898327575983</v>
      </c>
      <c r="AQ32" s="70">
        <f t="shared" si="15"/>
        <v>421.4316789899587</v>
      </c>
      <c r="AS32" s="68">
        <f>HLOOKUP($V$3,$AP$3:$AQ$33,30,FALSE)</f>
        <v>421.42898327575983</v>
      </c>
    </row>
    <row r="33" spans="1:45" ht="15.75" customHeight="1">
      <c r="A33" s="22" t="s">
        <v>23</v>
      </c>
      <c r="B33" s="23">
        <v>98.21647328478267</v>
      </c>
      <c r="C33" s="24"/>
      <c r="D33" s="33"/>
      <c r="E33" s="24">
        <v>529.4161019979308</v>
      </c>
      <c r="F33" s="24">
        <v>537.4801019979309</v>
      </c>
      <c r="G33" s="24">
        <v>536.0521019979309</v>
      </c>
      <c r="H33" s="24">
        <v>533.7001019979309</v>
      </c>
      <c r="I33" s="17"/>
      <c r="J33" s="68">
        <f>HLOOKUP($J$3,$E$3:$H$243,31,FALSE)</f>
        <v>529.4161019979308</v>
      </c>
      <c r="L33" s="70">
        <f t="shared" si="0"/>
        <v>529.4161019979308</v>
      </c>
      <c r="M33" s="70">
        <f t="shared" si="1"/>
        <v>736.3452173825461</v>
      </c>
      <c r="N33" s="70">
        <f t="shared" si="2"/>
        <v>786.3117007675462</v>
      </c>
      <c r="O33" s="70">
        <f t="shared" si="3"/>
        <v>817.5613807675463</v>
      </c>
      <c r="Q33" s="68">
        <f>HLOOKUP($Q$3,$L$4:$O$63,30,FALSE)</f>
        <v>817.5613807675463</v>
      </c>
      <c r="S33" s="70">
        <f t="shared" si="12"/>
        <v>883.8913807675463</v>
      </c>
      <c r="T33" s="70">
        <f t="shared" si="13"/>
        <v>795.8513807675463</v>
      </c>
      <c r="V33" s="68">
        <f>HLOOKUP($V$3,$S$3:$T$33,31,FALSE)</f>
        <v>883.8913807675463</v>
      </c>
      <c r="X33" s="22" t="s">
        <v>23</v>
      </c>
      <c r="Y33" s="23">
        <v>98.21647328478267</v>
      </c>
      <c r="Z33" s="24"/>
      <c r="AA33" s="33"/>
      <c r="AB33" s="24">
        <v>254.57039794391738</v>
      </c>
      <c r="AC33" s="24">
        <v>262.63439794391746</v>
      </c>
      <c r="AD33" s="24">
        <v>261.20639794391747</v>
      </c>
      <c r="AE33" s="24">
        <v>258.8543979439175</v>
      </c>
      <c r="AF33" s="17"/>
      <c r="AG33" s="68">
        <f>HLOOKUP($J$3,$AB$3:$AE$243,31,FALSE)</f>
        <v>254.57039794391738</v>
      </c>
      <c r="AI33" s="70">
        <f t="shared" si="6"/>
        <v>254.57039794391738</v>
      </c>
      <c r="AJ33" s="70">
        <f t="shared" si="7"/>
        <v>295.09951332853274</v>
      </c>
      <c r="AK33" s="70">
        <f t="shared" si="8"/>
        <v>211.94599671353285</v>
      </c>
      <c r="AL33" s="70">
        <f t="shared" si="9"/>
        <v>60.15567671353301</v>
      </c>
      <c r="AN33" s="68">
        <f>HLOOKUP($Q$3,$AI$4:$AL$63,30,FALSE)</f>
        <v>60.15567671353301</v>
      </c>
      <c r="AP33" s="70">
        <f t="shared" si="14"/>
        <v>198.03574754020838</v>
      </c>
      <c r="AQ33" s="70">
        <f t="shared" si="15"/>
        <v>198.0384432544073</v>
      </c>
      <c r="AS33" s="68">
        <f>HLOOKUP($V$3,$AP$3:$AQ$33,31,FALSE)</f>
        <v>198.03574754020838</v>
      </c>
    </row>
    <row r="34" spans="1:40" ht="15.75" customHeight="1">
      <c r="A34" s="18" t="s">
        <v>25</v>
      </c>
      <c r="B34" s="13" t="s">
        <v>8</v>
      </c>
      <c r="C34" s="14" t="s">
        <v>29</v>
      </c>
      <c r="D34" s="32"/>
      <c r="E34" s="14" t="s">
        <v>4</v>
      </c>
      <c r="F34" s="28" t="s">
        <v>4</v>
      </c>
      <c r="G34" s="28" t="s">
        <v>4</v>
      </c>
      <c r="H34" s="28" t="s">
        <v>4</v>
      </c>
      <c r="I34" s="61"/>
      <c r="J34" s="68" t="str">
        <f>HLOOKUP($J$3,$E$3:$H$243,32,FALSE)</f>
        <v>Part-time - 6 hours</v>
      </c>
      <c r="L34" s="70" t="str">
        <f t="shared" si="0"/>
        <v>Part-time - 6 hours</v>
      </c>
      <c r="M34" s="70" t="str">
        <f t="shared" si="1"/>
        <v>Part-time - 16 hours</v>
      </c>
      <c r="N34" s="70" t="str">
        <f t="shared" si="2"/>
        <v>Part-time - 24 hours</v>
      </c>
      <c r="O34" s="70" t="str">
        <f t="shared" si="3"/>
        <v>Full-time - 35 hours</v>
      </c>
      <c r="Q34" s="68" t="str">
        <f>HLOOKUP($Q$3,$L$4:$O$63,31,FALSE)</f>
        <v>Full-time - 35 hours</v>
      </c>
      <c r="X34" s="18" t="s">
        <v>25</v>
      </c>
      <c r="Y34" s="13" t="s">
        <v>8</v>
      </c>
      <c r="Z34" s="14" t="s">
        <v>29</v>
      </c>
      <c r="AA34" s="32"/>
      <c r="AB34" s="14" t="s">
        <v>4</v>
      </c>
      <c r="AC34" s="28" t="s">
        <v>4</v>
      </c>
      <c r="AD34" s="28" t="s">
        <v>4</v>
      </c>
      <c r="AE34" s="28" t="s">
        <v>4</v>
      </c>
      <c r="AF34" s="61"/>
      <c r="AG34" s="68" t="str">
        <f>HLOOKUP($J$3,$AB$3:$AE$243,32,FALSE)</f>
        <v>Part-time - 6 hours</v>
      </c>
      <c r="AI34" s="70" t="str">
        <f t="shared" si="6"/>
        <v>Part-time - 6 hours</v>
      </c>
      <c r="AJ34" s="70" t="str">
        <f t="shared" si="7"/>
        <v>Part-time - 16 hours</v>
      </c>
      <c r="AK34" s="70" t="str">
        <f t="shared" si="8"/>
        <v>Part-time - 24 hours</v>
      </c>
      <c r="AL34" s="70" t="str">
        <f t="shared" si="9"/>
        <v>Full-time - 35 hours</v>
      </c>
      <c r="AN34" s="68" t="str">
        <f>HLOOKUP($Q$3,$AI$4:$AL$63,31,FALSE)</f>
        <v>Full-time - 35 hours</v>
      </c>
    </row>
    <row r="35" spans="1:40" ht="15.75" customHeight="1">
      <c r="A35" s="27" t="s">
        <v>10</v>
      </c>
      <c r="B35" s="23">
        <v>127.2225586275902</v>
      </c>
      <c r="C35" s="24">
        <v>213.27433383528847</v>
      </c>
      <c r="D35" s="33"/>
      <c r="E35" s="24">
        <v>225.72733383528845</v>
      </c>
      <c r="F35" s="24">
        <v>229.75933383528846</v>
      </c>
      <c r="G35" s="24">
        <v>229.0453338352885</v>
      </c>
      <c r="H35" s="24">
        <v>227.8693338352885</v>
      </c>
      <c r="I35" s="17"/>
      <c r="J35" s="68">
        <f>HLOOKUP($J$3,$E$3:$H$243,33,FALSE)</f>
        <v>225.72733383528845</v>
      </c>
      <c r="L35" s="70">
        <f t="shared" si="0"/>
        <v>225.72733383528845</v>
      </c>
      <c r="M35" s="70">
        <f t="shared" si="1"/>
        <v>242.015745801299</v>
      </c>
      <c r="N35" s="70">
        <f t="shared" si="2"/>
        <v>250.01281780129898</v>
      </c>
      <c r="O35" s="70">
        <f t="shared" si="3"/>
        <v>258.43463496624514</v>
      </c>
      <c r="Q35" s="68">
        <f>HLOOKUP($Q$3,$L$4:$O$63,32,FALSE)</f>
        <v>258.43463496624514</v>
      </c>
      <c r="X35" s="27" t="s">
        <v>10</v>
      </c>
      <c r="Y35" s="23">
        <v>127.2225586275902</v>
      </c>
      <c r="Z35" s="24">
        <v>213.27433383528847</v>
      </c>
      <c r="AA35" s="33"/>
      <c r="AB35" s="24">
        <v>58.76400597692901</v>
      </c>
      <c r="AC35" s="24">
        <v>62.796005976929024</v>
      </c>
      <c r="AD35" s="24">
        <v>62.082005976929054</v>
      </c>
      <c r="AE35" s="24">
        <v>60.906005976929066</v>
      </c>
      <c r="AF35" s="17"/>
      <c r="AG35" s="68">
        <f>HLOOKUP($J$3,$AB$3:$AE$243,33,FALSE)</f>
        <v>58.76400597692901</v>
      </c>
      <c r="AI35" s="70">
        <f t="shared" si="6"/>
        <v>58.76400597692901</v>
      </c>
      <c r="AJ35" s="70">
        <f t="shared" si="7"/>
        <v>75.05241794293957</v>
      </c>
      <c r="AK35" s="70">
        <f t="shared" si="8"/>
        <v>83.04948994293954</v>
      </c>
      <c r="AL35" s="70">
        <f t="shared" si="9"/>
        <v>91.4713071078857</v>
      </c>
      <c r="AN35" s="68">
        <f>HLOOKUP($Q$3,$AI$4:$AL$63,32,FALSE)</f>
        <v>91.4713071078857</v>
      </c>
    </row>
    <row r="36" spans="1:40" ht="15.75" customHeight="1">
      <c r="A36" s="27" t="s">
        <v>11</v>
      </c>
      <c r="B36" s="23">
        <v>146.7261021760684</v>
      </c>
      <c r="C36" s="25">
        <v>372.57743799720964</v>
      </c>
      <c r="D36" s="33"/>
      <c r="E36" s="24">
        <v>408.1574379972096</v>
      </c>
      <c r="F36" s="24">
        <v>418.3124379972096</v>
      </c>
      <c r="G36" s="24">
        <v>417.59843799720966</v>
      </c>
      <c r="H36" s="24">
        <v>414.27743799720963</v>
      </c>
      <c r="I36" s="17"/>
      <c r="J36" s="68">
        <f>HLOOKUP($J$3,$E$3:$H$243,34,FALSE)</f>
        <v>408.1574379972096</v>
      </c>
      <c r="L36" s="70">
        <f t="shared" si="0"/>
        <v>408.1574379972096</v>
      </c>
      <c r="M36" s="70">
        <f t="shared" si="1"/>
        <v>490.77296140999664</v>
      </c>
      <c r="N36" s="70">
        <f t="shared" si="2"/>
        <v>542.3779595356712</v>
      </c>
      <c r="O36" s="70">
        <f t="shared" si="3"/>
        <v>609.1307995356713</v>
      </c>
      <c r="Q36" s="68">
        <f>HLOOKUP($Q$3,$L$4:$O$63,33,FALSE)</f>
        <v>609.1307995356713</v>
      </c>
      <c r="X36" s="27" t="s">
        <v>11</v>
      </c>
      <c r="Y36" s="23">
        <v>146.7261021760684</v>
      </c>
      <c r="Z36" s="25">
        <v>372.57743799720964</v>
      </c>
      <c r="AA36" s="33"/>
      <c r="AB36" s="24">
        <v>181.850566590372</v>
      </c>
      <c r="AC36" s="24">
        <v>192.00556659037198</v>
      </c>
      <c r="AD36" s="24">
        <v>191.29156659037204</v>
      </c>
      <c r="AE36" s="24">
        <v>187.97056659037202</v>
      </c>
      <c r="AF36" s="17"/>
      <c r="AG36" s="68">
        <f>HLOOKUP($J$3,$AB$3:$AE$243,34,FALSE)</f>
        <v>181.850566590372</v>
      </c>
      <c r="AI36" s="70">
        <f t="shared" si="6"/>
        <v>181.850566590372</v>
      </c>
      <c r="AJ36" s="70">
        <f t="shared" si="7"/>
        <v>198.06609000315905</v>
      </c>
      <c r="AK36" s="70">
        <f t="shared" si="8"/>
        <v>196.55108812883356</v>
      </c>
      <c r="AL36" s="70">
        <f t="shared" si="9"/>
        <v>190.2639281288337</v>
      </c>
      <c r="AN36" s="68">
        <f>HLOOKUP($Q$3,$AI$4:$AL$63,33,FALSE)</f>
        <v>190.2639281288337</v>
      </c>
    </row>
    <row r="37" spans="1:40" ht="15.75" customHeight="1">
      <c r="A37" s="27" t="s">
        <v>12</v>
      </c>
      <c r="B37" s="23">
        <v>127.2225586275902</v>
      </c>
      <c r="C37" s="24">
        <v>250.5168872741135</v>
      </c>
      <c r="D37" s="33"/>
      <c r="E37" s="24"/>
      <c r="F37" s="24"/>
      <c r="G37" s="24"/>
      <c r="H37" s="24"/>
      <c r="I37" s="17"/>
      <c r="J37" s="68">
        <f>HLOOKUP($J$3,$E$3:$H$243,35,FALSE)</f>
        <v>0</v>
      </c>
      <c r="L37" s="70">
        <f t="shared" si="0"/>
        <v>0</v>
      </c>
      <c r="M37" s="70">
        <f t="shared" si="1"/>
        <v>0</v>
      </c>
      <c r="N37" s="70">
        <f t="shared" si="2"/>
        <v>0</v>
      </c>
      <c r="O37" s="70">
        <f t="shared" si="3"/>
        <v>0</v>
      </c>
      <c r="Q37" s="68">
        <f>HLOOKUP($Q$3,$L$4:$O$63,34,FALSE)</f>
        <v>0</v>
      </c>
      <c r="X37" s="27" t="s">
        <v>12</v>
      </c>
      <c r="Y37" s="23">
        <v>127.2225586275902</v>
      </c>
      <c r="Z37" s="24">
        <v>250.5168872741135</v>
      </c>
      <c r="AA37" s="33"/>
      <c r="AB37" s="24"/>
      <c r="AC37" s="24"/>
      <c r="AD37" s="24"/>
      <c r="AE37" s="24"/>
      <c r="AF37" s="17"/>
      <c r="AG37" s="68">
        <f>HLOOKUP($J$3,$AB$3:$AE$243,35,FALSE)</f>
        <v>0</v>
      </c>
      <c r="AI37" s="70">
        <f t="shared" si="6"/>
        <v>0</v>
      </c>
      <c r="AJ37" s="70">
        <f t="shared" si="7"/>
        <v>0</v>
      </c>
      <c r="AK37" s="70">
        <f t="shared" si="8"/>
        <v>0</v>
      </c>
      <c r="AL37" s="70">
        <f t="shared" si="9"/>
        <v>0</v>
      </c>
      <c r="AN37" s="68">
        <f>HLOOKUP($Q$3,$AI$4:$AL$63,34,FALSE)</f>
        <v>0</v>
      </c>
    </row>
    <row r="38" spans="1:40" ht="15.75" customHeight="1">
      <c r="A38" s="27" t="s">
        <v>13</v>
      </c>
      <c r="B38" s="23">
        <v>146.7261021760684</v>
      </c>
      <c r="C38" s="24">
        <v>409.8199914360347</v>
      </c>
      <c r="D38" s="33"/>
      <c r="E38" s="24"/>
      <c r="F38" s="24"/>
      <c r="G38" s="24"/>
      <c r="H38" s="24"/>
      <c r="I38" s="17"/>
      <c r="J38" s="68">
        <f>HLOOKUP($J$3,$E$3:$H$243,36,FALSE)</f>
        <v>0</v>
      </c>
      <c r="L38" s="70">
        <f t="shared" si="0"/>
        <v>0</v>
      </c>
      <c r="M38" s="70">
        <f t="shared" si="1"/>
        <v>0</v>
      </c>
      <c r="N38" s="70">
        <f t="shared" si="2"/>
        <v>0</v>
      </c>
      <c r="O38" s="70">
        <f t="shared" si="3"/>
        <v>0</v>
      </c>
      <c r="Q38" s="68">
        <f>HLOOKUP($Q$3,$L$4:$O$63,35,FALSE)</f>
        <v>0</v>
      </c>
      <c r="X38" s="27" t="s">
        <v>13</v>
      </c>
      <c r="Y38" s="23">
        <v>146.7261021760684</v>
      </c>
      <c r="Z38" s="24">
        <v>409.8199914360347</v>
      </c>
      <c r="AA38" s="33"/>
      <c r="AB38" s="24"/>
      <c r="AC38" s="24"/>
      <c r="AD38" s="24"/>
      <c r="AE38" s="24"/>
      <c r="AF38" s="17"/>
      <c r="AG38" s="68">
        <f>HLOOKUP($J$3,$AB$3:$AE$243,36,FALSE)</f>
        <v>0</v>
      </c>
      <c r="AI38" s="70">
        <f t="shared" si="6"/>
        <v>0</v>
      </c>
      <c r="AJ38" s="70">
        <f t="shared" si="7"/>
        <v>0</v>
      </c>
      <c r="AK38" s="70">
        <f t="shared" si="8"/>
        <v>0</v>
      </c>
      <c r="AL38" s="70">
        <f t="shared" si="9"/>
        <v>0</v>
      </c>
      <c r="AN38" s="68">
        <f>HLOOKUP($Q$3,$AI$4:$AL$63,35,FALSE)</f>
        <v>0</v>
      </c>
    </row>
    <row r="39" spans="1:40" ht="15.75" customHeight="1">
      <c r="A39" s="27" t="s">
        <v>14</v>
      </c>
      <c r="B39" s="23">
        <v>127.2225586275902</v>
      </c>
      <c r="C39" s="24"/>
      <c r="D39" s="33"/>
      <c r="E39" s="24">
        <v>269.4698872741135</v>
      </c>
      <c r="F39" s="24">
        <v>273.50188727411347</v>
      </c>
      <c r="G39" s="24">
        <v>272.7878872741135</v>
      </c>
      <c r="H39" s="24">
        <v>271.6118872741135</v>
      </c>
      <c r="I39" s="17"/>
      <c r="J39" s="68">
        <f>HLOOKUP($J$3,$E$3:$H$243,37,FALSE)</f>
        <v>269.4698872741135</v>
      </c>
      <c r="L39" s="70">
        <f t="shared" si="0"/>
        <v>269.4698872741135</v>
      </c>
      <c r="M39" s="70">
        <f t="shared" si="1"/>
        <v>290.168246072849</v>
      </c>
      <c r="N39" s="70">
        <f t="shared" si="2"/>
        <v>301.3590308591125</v>
      </c>
      <c r="O39" s="70">
        <f t="shared" si="3"/>
        <v>303.24281848668363</v>
      </c>
      <c r="Q39" s="68">
        <f>HLOOKUP($Q$3,$L$4:$O$63,36,FALSE)</f>
        <v>303.24281848668363</v>
      </c>
      <c r="X39" s="27" t="s">
        <v>14</v>
      </c>
      <c r="Y39" s="23">
        <v>127.2225586275902</v>
      </c>
      <c r="Z39" s="24"/>
      <c r="AA39" s="33"/>
      <c r="AB39" s="24">
        <v>102.50655941575405</v>
      </c>
      <c r="AC39" s="24">
        <v>106.53855941575404</v>
      </c>
      <c r="AD39" s="24">
        <v>105.82455941575404</v>
      </c>
      <c r="AE39" s="24">
        <v>104.64855941575405</v>
      </c>
      <c r="AF39" s="17"/>
      <c r="AG39" s="68">
        <f>HLOOKUP($J$3,$AB$3:$AE$243,37,FALSE)</f>
        <v>102.50655941575405</v>
      </c>
      <c r="AI39" s="70">
        <f t="shared" si="6"/>
        <v>102.50655941575405</v>
      </c>
      <c r="AJ39" s="70">
        <f t="shared" si="7"/>
        <v>123.20491821448957</v>
      </c>
      <c r="AK39" s="70">
        <f t="shared" si="8"/>
        <v>134.3957030007531</v>
      </c>
      <c r="AL39" s="70">
        <f t="shared" si="9"/>
        <v>136.2794906283242</v>
      </c>
      <c r="AN39" s="68">
        <f>HLOOKUP($Q$3,$AI$4:$AL$63,36,FALSE)</f>
        <v>136.2794906283242</v>
      </c>
    </row>
    <row r="40" spans="1:40" ht="15.75" customHeight="1">
      <c r="A40" s="27" t="s">
        <v>15</v>
      </c>
      <c r="B40" s="23">
        <v>127.2225586275902</v>
      </c>
      <c r="C40" s="24"/>
      <c r="D40" s="33"/>
      <c r="E40" s="24">
        <v>281.92288727411346</v>
      </c>
      <c r="F40" s="24">
        <v>289.9868872741135</v>
      </c>
      <c r="G40" s="24">
        <v>288.5588872741135</v>
      </c>
      <c r="H40" s="24">
        <v>286.20688727411346</v>
      </c>
      <c r="I40" s="17"/>
      <c r="J40" s="68">
        <f>HLOOKUP($J$3,$E$3:$H$243,38,FALSE)</f>
        <v>281.92288727411346</v>
      </c>
      <c r="L40" s="70">
        <f t="shared" si="0"/>
        <v>281.92288727411346</v>
      </c>
      <c r="M40" s="70">
        <f t="shared" si="1"/>
        <v>309.4915588591125</v>
      </c>
      <c r="N40" s="70">
        <f t="shared" si="2"/>
        <v>335.68796881257504</v>
      </c>
      <c r="O40" s="70">
        <f t="shared" si="3"/>
        <v>373.128</v>
      </c>
      <c r="Q40" s="68">
        <f>HLOOKUP($Q$3,$L$4:$O$63,37,FALSE)</f>
        <v>373.128</v>
      </c>
      <c r="X40" s="27" t="s">
        <v>15</v>
      </c>
      <c r="Y40" s="23">
        <v>127.2225586275902</v>
      </c>
      <c r="Z40" s="24"/>
      <c r="AA40" s="33"/>
      <c r="AB40" s="24">
        <v>98.19955941575404</v>
      </c>
      <c r="AC40" s="24">
        <v>106.26355941575406</v>
      </c>
      <c r="AD40" s="24">
        <v>104.83555941575406</v>
      </c>
      <c r="AE40" s="24">
        <v>102.48355941575403</v>
      </c>
      <c r="AF40" s="17"/>
      <c r="AG40" s="68">
        <f>HLOOKUP($J$3,$AB$3:$AE$243,38,FALSE)</f>
        <v>98.19955941575404</v>
      </c>
      <c r="AI40" s="70">
        <f t="shared" si="6"/>
        <v>98.19955941575404</v>
      </c>
      <c r="AJ40" s="70">
        <f t="shared" si="7"/>
        <v>125.76823100075308</v>
      </c>
      <c r="AK40" s="70">
        <f t="shared" si="8"/>
        <v>151.9646409542156</v>
      </c>
      <c r="AL40" s="70">
        <f t="shared" si="9"/>
        <v>189.40467214164056</v>
      </c>
      <c r="AN40" s="68">
        <f>HLOOKUP($Q$3,$AI$4:$AL$63,37,FALSE)</f>
        <v>189.40467214164056</v>
      </c>
    </row>
    <row r="41" spans="1:40" ht="15.75" customHeight="1">
      <c r="A41" s="27" t="s">
        <v>16</v>
      </c>
      <c r="B41" s="23">
        <v>146.7261021760684</v>
      </c>
      <c r="C41" s="24"/>
      <c r="D41" s="33"/>
      <c r="E41" s="24">
        <v>438.52299143603466</v>
      </c>
      <c r="F41" s="24">
        <v>442.5549914360347</v>
      </c>
      <c r="G41" s="24">
        <v>441.8409914360347</v>
      </c>
      <c r="H41" s="24">
        <v>440.66499143603465</v>
      </c>
      <c r="I41" s="17"/>
      <c r="J41" s="68">
        <f>HLOOKUP($J$3,$E$3:$H$243,39,FALSE)</f>
        <v>438.52299143603466</v>
      </c>
      <c r="L41" s="70">
        <f t="shared" si="0"/>
        <v>438.52299143603466</v>
      </c>
      <c r="M41" s="70">
        <f t="shared" si="1"/>
        <v>459.22135023477017</v>
      </c>
      <c r="N41" s="70">
        <f t="shared" si="2"/>
        <v>467.4262409293487</v>
      </c>
      <c r="O41" s="70">
        <f t="shared" si="3"/>
        <v>477.36581250709486</v>
      </c>
      <c r="Q41" s="68">
        <f>HLOOKUP($Q$3,$L$4:$O$63,38,FALSE)</f>
        <v>477.36581250709486</v>
      </c>
      <c r="X41" s="27" t="s">
        <v>16</v>
      </c>
      <c r="Y41" s="23">
        <v>146.7261021760684</v>
      </c>
      <c r="Z41" s="24"/>
      <c r="AA41" s="33"/>
      <c r="AB41" s="24">
        <v>252.05612002919705</v>
      </c>
      <c r="AC41" s="24">
        <v>256.08812002919706</v>
      </c>
      <c r="AD41" s="24">
        <v>255.3741200291971</v>
      </c>
      <c r="AE41" s="24">
        <v>254.19812002919704</v>
      </c>
      <c r="AF41" s="17"/>
      <c r="AG41" s="68">
        <f>HLOOKUP($J$3,$AB$3:$AE$243,39,FALSE)</f>
        <v>252.05612002919705</v>
      </c>
      <c r="AI41" s="70">
        <f t="shared" si="6"/>
        <v>252.05612002919705</v>
      </c>
      <c r="AJ41" s="70">
        <f t="shared" si="7"/>
        <v>272.75447882793253</v>
      </c>
      <c r="AK41" s="70">
        <f t="shared" si="8"/>
        <v>280.9593695225111</v>
      </c>
      <c r="AL41" s="70">
        <f t="shared" si="9"/>
        <v>290.8989411002573</v>
      </c>
      <c r="AN41" s="68">
        <f>HLOOKUP($Q$3,$AI$4:$AL$63,38,FALSE)</f>
        <v>290.8989411002573</v>
      </c>
    </row>
    <row r="42" spans="1:40" ht="15.75" customHeight="1">
      <c r="A42" s="27" t="s">
        <v>17</v>
      </c>
      <c r="B42" s="23">
        <v>146.7261021760684</v>
      </c>
      <c r="C42" s="24"/>
      <c r="D42" s="33"/>
      <c r="E42" s="24">
        <v>450.97599143603463</v>
      </c>
      <c r="F42" s="24">
        <v>459.03999143603465</v>
      </c>
      <c r="G42" s="24">
        <v>457.6119914360347</v>
      </c>
      <c r="H42" s="24">
        <v>455.2599914360346</v>
      </c>
      <c r="I42" s="17"/>
      <c r="J42" s="68">
        <f>HLOOKUP($J$3,$E$3:$H$243,40,FALSE)</f>
        <v>450.97599143603463</v>
      </c>
      <c r="L42" s="70">
        <f t="shared" si="0"/>
        <v>450.97599143603463</v>
      </c>
      <c r="M42" s="70">
        <f t="shared" si="1"/>
        <v>546.1799529744962</v>
      </c>
      <c r="N42" s="70">
        <f t="shared" si="2"/>
        <v>616.2930729744961</v>
      </c>
      <c r="O42" s="70">
        <f t="shared" si="3"/>
        <v>698.6707529744962</v>
      </c>
      <c r="Q42" s="68">
        <f>HLOOKUP($Q$3,$L$4:$O$63,39,FALSE)</f>
        <v>698.6707529744962</v>
      </c>
      <c r="X42" s="27" t="s">
        <v>17</v>
      </c>
      <c r="Y42" s="23">
        <v>146.7261021760684</v>
      </c>
      <c r="Z42" s="24"/>
      <c r="AA42" s="33"/>
      <c r="AB42" s="24">
        <v>207.90912002919703</v>
      </c>
      <c r="AC42" s="24">
        <v>215.97312002919705</v>
      </c>
      <c r="AD42" s="24">
        <v>214.5451200291971</v>
      </c>
      <c r="AE42" s="24">
        <v>212.19312002919702</v>
      </c>
      <c r="AF42" s="17"/>
      <c r="AG42" s="68">
        <f>HLOOKUP($J$3,$AB$3:$AE$243,40,FALSE)</f>
        <v>207.90912002919703</v>
      </c>
      <c r="AI42" s="70">
        <f t="shared" si="6"/>
        <v>207.90912002919703</v>
      </c>
      <c r="AJ42" s="70">
        <f t="shared" si="7"/>
        <v>236.71308156765866</v>
      </c>
      <c r="AK42" s="70">
        <f t="shared" si="8"/>
        <v>253.70620156765852</v>
      </c>
      <c r="AL42" s="70">
        <f t="shared" si="9"/>
        <v>263.0438815676586</v>
      </c>
      <c r="AN42" s="68">
        <f>HLOOKUP($Q$3,$AI$4:$AL$63,39,FALSE)</f>
        <v>263.0438815676586</v>
      </c>
    </row>
    <row r="43" spans="1:40" ht="15.75" customHeight="1">
      <c r="A43" s="27" t="s">
        <v>18</v>
      </c>
      <c r="B43" s="23">
        <v>164.5548639965686</v>
      </c>
      <c r="C43" s="24"/>
      <c r="D43" s="33"/>
      <c r="E43" s="24">
        <v>456.34299143603465</v>
      </c>
      <c r="F43" s="24">
        <v>460.37499143603463</v>
      </c>
      <c r="G43" s="24">
        <v>459.6609914360347</v>
      </c>
      <c r="H43" s="24">
        <v>458.48499143603465</v>
      </c>
      <c r="I43" s="17"/>
      <c r="J43" s="68">
        <f>HLOOKUP($J$3,$E$3:$H$243,41,FALSE)</f>
        <v>456.34299143603465</v>
      </c>
      <c r="L43" s="70">
        <f t="shared" si="0"/>
        <v>456.34299143603465</v>
      </c>
      <c r="M43" s="70">
        <f t="shared" si="1"/>
        <v>477.04135023477016</v>
      </c>
      <c r="N43" s="70">
        <f t="shared" si="2"/>
        <v>485.2462409293487</v>
      </c>
      <c r="O43" s="70">
        <f t="shared" si="3"/>
        <v>495.18581250709485</v>
      </c>
      <c r="Q43" s="68">
        <f>HLOOKUP($Q$3,$L$4:$O$63,40,FALSE)</f>
        <v>495.18581250709485</v>
      </c>
      <c r="X43" s="27" t="s">
        <v>18</v>
      </c>
      <c r="Y43" s="23">
        <v>164.5548639965686</v>
      </c>
      <c r="Z43" s="24"/>
      <c r="AA43" s="33"/>
      <c r="AB43" s="24">
        <v>252.04735820869683</v>
      </c>
      <c r="AC43" s="24">
        <v>256.0793582086968</v>
      </c>
      <c r="AD43" s="24">
        <v>255.36535820869688</v>
      </c>
      <c r="AE43" s="24">
        <v>254.18935820869683</v>
      </c>
      <c r="AF43" s="17"/>
      <c r="AG43" s="68">
        <f>HLOOKUP($J$3,$AB$3:$AE$243,41,FALSE)</f>
        <v>252.04735820869683</v>
      </c>
      <c r="AI43" s="70">
        <f t="shared" si="6"/>
        <v>252.04735820869683</v>
      </c>
      <c r="AJ43" s="70">
        <f t="shared" si="7"/>
        <v>272.74571700743235</v>
      </c>
      <c r="AK43" s="70">
        <f t="shared" si="8"/>
        <v>280.95060770201087</v>
      </c>
      <c r="AL43" s="70">
        <f t="shared" si="9"/>
        <v>290.89017927975704</v>
      </c>
      <c r="AN43" s="68">
        <f>HLOOKUP($Q$3,$AI$4:$AL$63,40,FALSE)</f>
        <v>290.89017927975704</v>
      </c>
    </row>
    <row r="44" spans="1:40" ht="15.75" customHeight="1">
      <c r="A44" s="27" t="s">
        <v>19</v>
      </c>
      <c r="B44" s="23">
        <v>164.5548639965686</v>
      </c>
      <c r="C44" s="24"/>
      <c r="D44" s="33"/>
      <c r="E44" s="24">
        <v>468.7959914360347</v>
      </c>
      <c r="F44" s="24">
        <v>476.85999143603465</v>
      </c>
      <c r="G44" s="24">
        <v>475.4319914360347</v>
      </c>
      <c r="H44" s="24">
        <v>473.0799914360347</v>
      </c>
      <c r="I44" s="17"/>
      <c r="J44" s="68">
        <f>HLOOKUP($J$3,$E$3:$H$243,42,FALSE)</f>
        <v>468.7959914360347</v>
      </c>
      <c r="L44" s="70">
        <f t="shared" si="0"/>
        <v>468.7959914360347</v>
      </c>
      <c r="M44" s="70">
        <f t="shared" si="1"/>
        <v>563.9999529744962</v>
      </c>
      <c r="N44" s="70">
        <f t="shared" si="2"/>
        <v>634.1130729744962</v>
      </c>
      <c r="O44" s="70">
        <f t="shared" si="3"/>
        <v>716.4907529744962</v>
      </c>
      <c r="Q44" s="68">
        <f>HLOOKUP($Q$3,$L$4:$O$63,41,FALSE)</f>
        <v>716.4907529744962</v>
      </c>
      <c r="X44" s="27" t="s">
        <v>19</v>
      </c>
      <c r="Y44" s="23">
        <v>164.5548639965686</v>
      </c>
      <c r="Z44" s="24"/>
      <c r="AA44" s="33"/>
      <c r="AB44" s="24">
        <v>207.90035820869684</v>
      </c>
      <c r="AC44" s="24">
        <v>215.9643582086968</v>
      </c>
      <c r="AD44" s="24">
        <v>214.53635820869687</v>
      </c>
      <c r="AE44" s="24">
        <v>212.18435820869684</v>
      </c>
      <c r="AF44" s="17"/>
      <c r="AG44" s="68">
        <f>HLOOKUP($J$3,$AB$3:$AE$243,42,FALSE)</f>
        <v>207.90035820869684</v>
      </c>
      <c r="AI44" s="70">
        <f t="shared" si="6"/>
        <v>207.90035820869684</v>
      </c>
      <c r="AJ44" s="70">
        <f t="shared" si="7"/>
        <v>236.70431974715837</v>
      </c>
      <c r="AK44" s="70">
        <f t="shared" si="8"/>
        <v>253.69743974715834</v>
      </c>
      <c r="AL44" s="70">
        <f t="shared" si="9"/>
        <v>263.03511974715843</v>
      </c>
      <c r="AN44" s="68">
        <f>HLOOKUP($Q$3,$AI$4:$AL$63,41,FALSE)</f>
        <v>263.03511974715843</v>
      </c>
    </row>
    <row r="45" spans="1:40" ht="15.75" customHeight="1">
      <c r="A45" s="27" t="s">
        <v>20</v>
      </c>
      <c r="B45" s="23">
        <v>164.5548639965686</v>
      </c>
      <c r="C45" s="24"/>
      <c r="D45" s="33"/>
      <c r="E45" s="24">
        <v>521.3056236400597</v>
      </c>
      <c r="F45" s="24">
        <v>525.3376236400596</v>
      </c>
      <c r="G45" s="24">
        <v>524.6236236400597</v>
      </c>
      <c r="H45" s="24">
        <v>523.4476236400596</v>
      </c>
      <c r="I45" s="17"/>
      <c r="J45" s="68">
        <f>HLOOKUP($J$3,$E$3:$H$243,43,FALSE)</f>
        <v>521.3056236400597</v>
      </c>
      <c r="L45" s="70">
        <f t="shared" si="0"/>
        <v>521.3056236400597</v>
      </c>
      <c r="M45" s="70">
        <f t="shared" si="1"/>
        <v>542.0039824387952</v>
      </c>
      <c r="N45" s="70">
        <f t="shared" si="2"/>
        <v>552.1406429273501</v>
      </c>
      <c r="O45" s="70">
        <f t="shared" si="3"/>
        <v>562.0802145050963</v>
      </c>
      <c r="Q45" s="68">
        <f>HLOOKUP($Q$3,$L$4:$O$63,42,FALSE)</f>
        <v>562.0802145050963</v>
      </c>
      <c r="X45" s="27" t="s">
        <v>20</v>
      </c>
      <c r="Y45" s="23">
        <v>164.5548639965686</v>
      </c>
      <c r="Z45" s="24"/>
      <c r="AA45" s="33"/>
      <c r="AB45" s="24">
        <v>317.0099904127219</v>
      </c>
      <c r="AC45" s="24">
        <v>321.0419904127218</v>
      </c>
      <c r="AD45" s="24">
        <v>320.3279904127219</v>
      </c>
      <c r="AE45" s="24">
        <v>319.15199041272183</v>
      </c>
      <c r="AF45" s="17"/>
      <c r="AG45" s="68">
        <f>HLOOKUP($J$3,$AB$3:$AE$243,43,FALSE)</f>
        <v>317.0099904127219</v>
      </c>
      <c r="AI45" s="70">
        <f t="shared" si="6"/>
        <v>317.0099904127219</v>
      </c>
      <c r="AJ45" s="70">
        <f t="shared" si="7"/>
        <v>337.7083492114574</v>
      </c>
      <c r="AK45" s="70">
        <f t="shared" si="8"/>
        <v>347.84500970001227</v>
      </c>
      <c r="AL45" s="70">
        <f t="shared" si="9"/>
        <v>357.78458127775843</v>
      </c>
      <c r="AN45" s="68">
        <f>HLOOKUP($Q$3,$AI$4:$AL$63,42,FALSE)</f>
        <v>357.78458127775843</v>
      </c>
    </row>
    <row r="46" spans="1:40" ht="15.75" customHeight="1">
      <c r="A46" s="27" t="s">
        <v>21</v>
      </c>
      <c r="B46" s="23">
        <v>164.5548639965686</v>
      </c>
      <c r="C46" s="24"/>
      <c r="D46" s="33"/>
      <c r="E46" s="24">
        <v>533.7586236400597</v>
      </c>
      <c r="F46" s="24">
        <v>541.8226236400596</v>
      </c>
      <c r="G46" s="24">
        <v>540.3946236400598</v>
      </c>
      <c r="H46" s="24">
        <v>538.0426236400597</v>
      </c>
      <c r="I46" s="17"/>
      <c r="J46" s="68">
        <f>HLOOKUP($J$3,$E$3:$H$243,44,FALSE)</f>
        <v>533.7586236400597</v>
      </c>
      <c r="L46" s="70">
        <f t="shared" si="0"/>
        <v>533.7586236400597</v>
      </c>
      <c r="M46" s="70">
        <f t="shared" si="1"/>
        <v>666.1465851785211</v>
      </c>
      <c r="N46" s="70">
        <f t="shared" si="2"/>
        <v>754.8517051785211</v>
      </c>
      <c r="O46" s="70">
        <f t="shared" si="3"/>
        <v>822.1787485635214</v>
      </c>
      <c r="Q46" s="68">
        <f>HLOOKUP($Q$3,$L$4:$O$63,43,FALSE)</f>
        <v>822.1787485635214</v>
      </c>
      <c r="X46" s="27" t="s">
        <v>21</v>
      </c>
      <c r="Y46" s="23">
        <v>164.5548639965686</v>
      </c>
      <c r="Z46" s="24"/>
      <c r="AA46" s="33"/>
      <c r="AB46" s="24">
        <v>252.94299041272183</v>
      </c>
      <c r="AC46" s="24">
        <v>261.0069904127218</v>
      </c>
      <c r="AD46" s="24">
        <v>259.5789904127219</v>
      </c>
      <c r="AE46" s="24">
        <v>257.2269904127218</v>
      </c>
      <c r="AF46" s="17"/>
      <c r="AG46" s="68">
        <f>HLOOKUP($J$3,$AB$3:$AE$243,44,FALSE)</f>
        <v>252.94299041272183</v>
      </c>
      <c r="AI46" s="70">
        <f t="shared" si="6"/>
        <v>252.94299041272183</v>
      </c>
      <c r="AJ46" s="70">
        <f t="shared" si="7"/>
        <v>285.73095195118333</v>
      </c>
      <c r="AK46" s="70">
        <f t="shared" si="8"/>
        <v>294.75607195118334</v>
      </c>
      <c r="AL46" s="70">
        <f t="shared" si="9"/>
        <v>252.52311533618354</v>
      </c>
      <c r="AN46" s="68">
        <f>HLOOKUP($Q$3,$AI$4:$AL$63,43,FALSE)</f>
        <v>252.52311533618354</v>
      </c>
    </row>
    <row r="47" spans="1:40" ht="15.75" customHeight="1">
      <c r="A47" s="27" t="s">
        <v>22</v>
      </c>
      <c r="B47" s="23">
        <v>164.5548639965686</v>
      </c>
      <c r="C47" s="24"/>
      <c r="D47" s="33"/>
      <c r="E47" s="24">
        <v>535.58</v>
      </c>
      <c r="F47" s="24">
        <v>547.0999999999999</v>
      </c>
      <c r="G47" s="24">
        <v>545.06</v>
      </c>
      <c r="H47" s="24">
        <v>541.6999999999999</v>
      </c>
      <c r="I47" s="17"/>
      <c r="J47" s="68">
        <f>HLOOKUP($J$3,$E$3:$H$243,45,FALSE)</f>
        <v>535.58</v>
      </c>
      <c r="L47" s="70">
        <f t="shared" si="0"/>
        <v>535.58</v>
      </c>
      <c r="M47" s="70">
        <f t="shared" si="1"/>
        <v>594.8800000000001</v>
      </c>
      <c r="N47" s="70">
        <f t="shared" si="2"/>
        <v>615.7850449253515</v>
      </c>
      <c r="O47" s="70">
        <f t="shared" si="3"/>
        <v>625.7246165030976</v>
      </c>
      <c r="Q47" s="68">
        <f>HLOOKUP($Q$3,$L$4:$O$63,44,FALSE)</f>
        <v>625.7246165030976</v>
      </c>
      <c r="X47" s="27" t="s">
        <v>22</v>
      </c>
      <c r="Y47" s="23">
        <v>164.5548639965686</v>
      </c>
      <c r="Z47" s="24"/>
      <c r="AA47" s="33"/>
      <c r="AB47" s="24">
        <v>331.2843667726622</v>
      </c>
      <c r="AC47" s="24">
        <v>342.8043667726621</v>
      </c>
      <c r="AD47" s="24">
        <v>340.76436677266213</v>
      </c>
      <c r="AE47" s="24">
        <v>337.4043667726621</v>
      </c>
      <c r="AF47" s="17"/>
      <c r="AG47" s="68">
        <f>HLOOKUP($J$3,$AB$3:$AE$243,45,FALSE)</f>
        <v>331.2843667726622</v>
      </c>
      <c r="AI47" s="70">
        <f t="shared" si="6"/>
        <v>331.2843667726622</v>
      </c>
      <c r="AJ47" s="70">
        <f t="shared" si="7"/>
        <v>390.5843667726623</v>
      </c>
      <c r="AK47" s="70">
        <f t="shared" si="8"/>
        <v>411.48941169801367</v>
      </c>
      <c r="AL47" s="70">
        <f t="shared" si="9"/>
        <v>421.42898327575983</v>
      </c>
      <c r="AN47" s="68">
        <f>HLOOKUP($Q$3,$AI$4:$AL$63,44,FALSE)</f>
        <v>421.42898327575983</v>
      </c>
    </row>
    <row r="48" spans="1:40" ht="15.75" customHeight="1">
      <c r="A48" s="27" t="s">
        <v>23</v>
      </c>
      <c r="B48" s="23">
        <v>164.5548639965686</v>
      </c>
      <c r="C48" s="24"/>
      <c r="D48" s="33"/>
      <c r="E48" s="24">
        <v>571.16</v>
      </c>
      <c r="F48" s="24">
        <v>594.1999999999999</v>
      </c>
      <c r="G48" s="24">
        <v>590.1199999999999</v>
      </c>
      <c r="H48" s="24">
        <v>583.4000000000001</v>
      </c>
      <c r="I48" s="17"/>
      <c r="J48" s="68">
        <f>HLOOKUP($J$3,$E$3:$H$243,46,FALSE)</f>
        <v>571.16</v>
      </c>
      <c r="L48" s="70">
        <f t="shared" si="0"/>
        <v>571.16</v>
      </c>
      <c r="M48" s="70">
        <f t="shared" si="1"/>
        <v>765.0432173825461</v>
      </c>
      <c r="N48" s="70">
        <f t="shared" si="2"/>
        <v>852.6417007675464</v>
      </c>
      <c r="O48" s="70">
        <f t="shared" si="3"/>
        <v>883.8913807675463</v>
      </c>
      <c r="Q48" s="68">
        <f>HLOOKUP($Q$3,$L$4:$O$63,45,FALSE)</f>
        <v>883.8913807675463</v>
      </c>
      <c r="X48" s="27" t="s">
        <v>23</v>
      </c>
      <c r="Y48" s="23">
        <v>164.5548639965686</v>
      </c>
      <c r="Z48" s="24"/>
      <c r="AA48" s="33"/>
      <c r="AB48" s="24">
        <v>270.42436677266215</v>
      </c>
      <c r="AC48" s="24">
        <v>293.4643667726621</v>
      </c>
      <c r="AD48" s="24">
        <v>289.3843667726621</v>
      </c>
      <c r="AE48" s="24">
        <v>282.6643667726623</v>
      </c>
      <c r="AF48" s="17"/>
      <c r="AG48" s="68">
        <f>HLOOKUP($J$3,$AB$3:$AE$243,46,FALSE)</f>
        <v>270.42436677266215</v>
      </c>
      <c r="AI48" s="70">
        <f t="shared" si="6"/>
        <v>270.42436677266215</v>
      </c>
      <c r="AJ48" s="70">
        <f t="shared" si="7"/>
        <v>331.5075841552083</v>
      </c>
      <c r="AK48" s="70">
        <f t="shared" si="8"/>
        <v>312.8660675402085</v>
      </c>
      <c r="AL48" s="70">
        <f t="shared" si="9"/>
        <v>198.03574754020838</v>
      </c>
      <c r="AN48" s="68">
        <f>HLOOKUP($Q$3,$AI$4:$AL$63,45,FALSE)</f>
        <v>198.03574754020838</v>
      </c>
    </row>
    <row r="49" spans="1:40" ht="15.75" customHeight="1">
      <c r="A49" s="18" t="s">
        <v>26</v>
      </c>
      <c r="B49" s="13" t="s">
        <v>8</v>
      </c>
      <c r="C49" s="14" t="s">
        <v>29</v>
      </c>
      <c r="D49" s="32"/>
      <c r="E49" s="14" t="s">
        <v>4</v>
      </c>
      <c r="F49" s="28" t="s">
        <v>4</v>
      </c>
      <c r="G49" s="28" t="s">
        <v>4</v>
      </c>
      <c r="H49" s="28" t="s">
        <v>4</v>
      </c>
      <c r="I49" s="61"/>
      <c r="J49" s="68" t="str">
        <f>HLOOKUP($J$3,$E$3:$H$243,47,FALSE)</f>
        <v>Part-time - 6 hours</v>
      </c>
      <c r="L49" s="70" t="str">
        <f t="shared" si="0"/>
        <v>Part-time - 6 hours</v>
      </c>
      <c r="M49" s="70" t="str">
        <f t="shared" si="1"/>
        <v>Part-time - 16 hours</v>
      </c>
      <c r="N49" s="70" t="str">
        <f t="shared" si="2"/>
        <v>Part-time - 24 hours</v>
      </c>
      <c r="O49" s="70" t="str">
        <f t="shared" si="3"/>
        <v>Full-time - 35 hours</v>
      </c>
      <c r="Q49" s="68" t="str">
        <f>HLOOKUP($Q$3,$L$4:$O$63,46,FALSE)</f>
        <v>Full-time - 35 hours</v>
      </c>
      <c r="X49" s="18" t="s">
        <v>26</v>
      </c>
      <c r="Y49" s="13" t="s">
        <v>8</v>
      </c>
      <c r="Z49" s="14" t="s">
        <v>29</v>
      </c>
      <c r="AA49" s="32"/>
      <c r="AB49" s="14" t="s">
        <v>4</v>
      </c>
      <c r="AC49" s="28" t="s">
        <v>4</v>
      </c>
      <c r="AD49" s="28" t="s">
        <v>4</v>
      </c>
      <c r="AE49" s="28" t="s">
        <v>4</v>
      </c>
      <c r="AF49" s="61"/>
      <c r="AG49" s="68" t="str">
        <f>HLOOKUP($J$3,$AB$3:$AE$243,47,FALSE)</f>
        <v>Part-time - 6 hours</v>
      </c>
      <c r="AI49" s="70" t="str">
        <f t="shared" si="6"/>
        <v>Part-time - 6 hours</v>
      </c>
      <c r="AJ49" s="70" t="str">
        <f t="shared" si="7"/>
        <v>Part-time - 16 hours</v>
      </c>
      <c r="AK49" s="70" t="str">
        <f t="shared" si="8"/>
        <v>Part-time - 24 hours</v>
      </c>
      <c r="AL49" s="70" t="str">
        <f t="shared" si="9"/>
        <v>Full-time - 35 hours</v>
      </c>
      <c r="AN49" s="68" t="str">
        <f>HLOOKUP($Q$3,$AI$4:$AL$63,46,FALSE)</f>
        <v>Full-time - 35 hours</v>
      </c>
    </row>
    <row r="50" spans="1:40" ht="15.75" customHeight="1">
      <c r="A50" s="22" t="s">
        <v>10</v>
      </c>
      <c r="B50" s="23">
        <v>59.1539719860898</v>
      </c>
      <c r="C50" s="24">
        <v>145.20433383528848</v>
      </c>
      <c r="D50" s="33"/>
      <c r="E50" s="24">
        <v>157.65733383528848</v>
      </c>
      <c r="F50" s="24">
        <v>161.6893338352885</v>
      </c>
      <c r="G50" s="24">
        <v>160.9753338352885</v>
      </c>
      <c r="H50" s="24">
        <v>159.79933383528848</v>
      </c>
      <c r="I50" s="17"/>
      <c r="J50" s="68">
        <f>HLOOKUP($J$3,$E$3:$H$243,48,FALSE)</f>
        <v>157.65733383528848</v>
      </c>
      <c r="L50" s="70">
        <f t="shared" si="0"/>
        <v>157.65733383528848</v>
      </c>
      <c r="M50" s="70">
        <f t="shared" si="1"/>
        <v>173.94574580129898</v>
      </c>
      <c r="N50" s="70">
        <f t="shared" si="2"/>
        <v>181.942817801299</v>
      </c>
      <c r="O50" s="70">
        <f t="shared" si="3"/>
        <v>190.36463496624515</v>
      </c>
      <c r="Q50" s="68">
        <f>HLOOKUP($Q$3,$L$4:$O$63,47,FALSE)</f>
        <v>190.36463496624515</v>
      </c>
      <c r="X50" s="22" t="s">
        <v>10</v>
      </c>
      <c r="Y50" s="23">
        <v>59.1539719860898</v>
      </c>
      <c r="Z50" s="24">
        <v>145.20433383528848</v>
      </c>
      <c r="AA50" s="33"/>
      <c r="AB50" s="24">
        <v>58.76259261842945</v>
      </c>
      <c r="AC50" s="24">
        <v>62.79459261842946</v>
      </c>
      <c r="AD50" s="24">
        <v>62.08059261842946</v>
      </c>
      <c r="AE50" s="24">
        <v>60.90459261842945</v>
      </c>
      <c r="AF50" s="17"/>
      <c r="AG50" s="68">
        <f>HLOOKUP($J$3,$AB$3:$AE$243,48,FALSE)</f>
        <v>58.76259261842945</v>
      </c>
      <c r="AI50" s="70">
        <f t="shared" si="6"/>
        <v>58.76259261842945</v>
      </c>
      <c r="AJ50" s="70">
        <f t="shared" si="7"/>
        <v>75.05100458443995</v>
      </c>
      <c r="AK50" s="70">
        <f t="shared" si="8"/>
        <v>83.04807658443995</v>
      </c>
      <c r="AL50" s="70">
        <f t="shared" si="9"/>
        <v>91.46989374938612</v>
      </c>
      <c r="AN50" s="68">
        <f>HLOOKUP($Q$3,$AI$4:$AL$63,47,FALSE)</f>
        <v>91.46989374938612</v>
      </c>
    </row>
    <row r="51" spans="1:40" ht="15.75" customHeight="1">
      <c r="A51" s="22" t="s">
        <v>11</v>
      </c>
      <c r="B51" s="23">
        <v>68.22242714955922</v>
      </c>
      <c r="C51" s="24">
        <v>294.06743799720965</v>
      </c>
      <c r="D51" s="33"/>
      <c r="E51" s="24">
        <v>329.64743799720964</v>
      </c>
      <c r="F51" s="24">
        <v>340.2879379972096</v>
      </c>
      <c r="G51" s="24">
        <v>339.12743799720965</v>
      </c>
      <c r="H51" s="24">
        <v>335.76743799720964</v>
      </c>
      <c r="I51" s="17"/>
      <c r="J51" s="68">
        <f>HLOOKUP($J$3,$E$3:$H$243,49,FALSE)</f>
        <v>329.64743799720964</v>
      </c>
      <c r="L51" s="70">
        <f t="shared" si="0"/>
        <v>329.64743799720964</v>
      </c>
      <c r="M51" s="70">
        <f t="shared" si="1"/>
        <v>412.74846140999665</v>
      </c>
      <c r="N51" s="70">
        <f t="shared" si="2"/>
        <v>464.35345953567116</v>
      </c>
      <c r="O51" s="70">
        <f t="shared" si="3"/>
        <v>531.1062995356713</v>
      </c>
      <c r="Q51" s="68">
        <f>HLOOKUP($Q$3,$L$4:$O$63,48,FALSE)</f>
        <v>531.1062995356713</v>
      </c>
      <c r="X51" s="22" t="s">
        <v>11</v>
      </c>
      <c r="Y51" s="23">
        <v>68.22242714955922</v>
      </c>
      <c r="Z51" s="24">
        <v>294.06743799720965</v>
      </c>
      <c r="AA51" s="33"/>
      <c r="AB51" s="24">
        <v>181.8442416168812</v>
      </c>
      <c r="AC51" s="24">
        <v>192.48474161688117</v>
      </c>
      <c r="AD51" s="24">
        <v>191.3242416168812</v>
      </c>
      <c r="AE51" s="24">
        <v>187.9642416168812</v>
      </c>
      <c r="AF51" s="17"/>
      <c r="AG51" s="68">
        <f>HLOOKUP($J$3,$AB$3:$AE$243,49,FALSE)</f>
        <v>181.8442416168812</v>
      </c>
      <c r="AI51" s="70">
        <f t="shared" si="6"/>
        <v>181.8442416168812</v>
      </c>
      <c r="AJ51" s="70">
        <f t="shared" si="7"/>
        <v>198.5452650296682</v>
      </c>
      <c r="AK51" s="70">
        <f t="shared" si="8"/>
        <v>197.0302631553427</v>
      </c>
      <c r="AL51" s="70">
        <f t="shared" si="9"/>
        <v>190.74310315534285</v>
      </c>
      <c r="AN51" s="68">
        <f>HLOOKUP($Q$3,$AI$4:$AL$63,48,FALSE)</f>
        <v>190.74310315534285</v>
      </c>
    </row>
    <row r="52" spans="1:40" ht="15.75" customHeight="1">
      <c r="A52" s="22" t="s">
        <v>12</v>
      </c>
      <c r="B52" s="23">
        <v>59.1539719860898</v>
      </c>
      <c r="C52" s="24">
        <v>182.4468872741135</v>
      </c>
      <c r="D52" s="33"/>
      <c r="E52" s="24"/>
      <c r="F52" s="24"/>
      <c r="G52" s="24"/>
      <c r="H52" s="24"/>
      <c r="I52" s="17"/>
      <c r="J52" s="68">
        <f>HLOOKUP($J$3,$E$3:$H$243,50,FALSE)</f>
        <v>0</v>
      </c>
      <c r="L52" s="70">
        <f t="shared" si="0"/>
        <v>0</v>
      </c>
      <c r="M52" s="70">
        <f t="shared" si="1"/>
        <v>0</v>
      </c>
      <c r="N52" s="70">
        <f t="shared" si="2"/>
        <v>0</v>
      </c>
      <c r="O52" s="70">
        <f t="shared" si="3"/>
        <v>0</v>
      </c>
      <c r="Q52" s="68">
        <f>HLOOKUP($Q$3,$L$4:$O$63,49,FALSE)</f>
        <v>0</v>
      </c>
      <c r="X52" s="22" t="s">
        <v>12</v>
      </c>
      <c r="Y52" s="23">
        <v>59.1539719860898</v>
      </c>
      <c r="Z52" s="24">
        <v>182.4468872741135</v>
      </c>
      <c r="AA52" s="33"/>
      <c r="AB52" s="24"/>
      <c r="AC52" s="24"/>
      <c r="AD52" s="24"/>
      <c r="AE52" s="24"/>
      <c r="AF52" s="17"/>
      <c r="AG52" s="68">
        <f>HLOOKUP($J$3,$AB$3:$AE$243,50,FALSE)</f>
        <v>0</v>
      </c>
      <c r="AI52" s="70">
        <f t="shared" si="6"/>
        <v>0</v>
      </c>
      <c r="AJ52" s="70">
        <f t="shared" si="7"/>
        <v>0</v>
      </c>
      <c r="AK52" s="70">
        <f t="shared" si="8"/>
        <v>0</v>
      </c>
      <c r="AL52" s="70">
        <f t="shared" si="9"/>
        <v>0</v>
      </c>
      <c r="AN52" s="68">
        <f>HLOOKUP($Q$3,$AI$4:$AL$63,49,FALSE)</f>
        <v>0</v>
      </c>
    </row>
    <row r="53" spans="1:40" ht="15.75" customHeight="1">
      <c r="A53" s="22" t="s">
        <v>13</v>
      </c>
      <c r="B53" s="23">
        <v>68.22242714955922</v>
      </c>
      <c r="C53" s="24">
        <v>331.3099914360347</v>
      </c>
      <c r="D53" s="33"/>
      <c r="E53" s="24"/>
      <c r="F53" s="24"/>
      <c r="G53" s="24"/>
      <c r="H53" s="24"/>
      <c r="I53" s="17"/>
      <c r="J53" s="68">
        <f>HLOOKUP($J$3,$E$3:$H$243,51,FALSE)</f>
        <v>0</v>
      </c>
      <c r="L53" s="70">
        <f t="shared" si="0"/>
        <v>0</v>
      </c>
      <c r="M53" s="70">
        <f t="shared" si="1"/>
        <v>0</v>
      </c>
      <c r="N53" s="70">
        <f t="shared" si="2"/>
        <v>0</v>
      </c>
      <c r="O53" s="70">
        <f t="shared" si="3"/>
        <v>0</v>
      </c>
      <c r="Q53" s="68">
        <f>HLOOKUP($Q$3,$L$4:$O$63,50,FALSE)</f>
        <v>0</v>
      </c>
      <c r="X53" s="22" t="s">
        <v>13</v>
      </c>
      <c r="Y53" s="23">
        <v>68.22242714955922</v>
      </c>
      <c r="Z53" s="24">
        <v>331.3099914360347</v>
      </c>
      <c r="AA53" s="33"/>
      <c r="AB53" s="24"/>
      <c r="AC53" s="24"/>
      <c r="AD53" s="24"/>
      <c r="AE53" s="24"/>
      <c r="AF53" s="17"/>
      <c r="AG53" s="68">
        <f>HLOOKUP($J$3,$AB$3:$AE$243,51,FALSE)</f>
        <v>0</v>
      </c>
      <c r="AI53" s="70">
        <f t="shared" si="6"/>
        <v>0</v>
      </c>
      <c r="AJ53" s="70">
        <f t="shared" si="7"/>
        <v>0</v>
      </c>
      <c r="AK53" s="70">
        <f t="shared" si="8"/>
        <v>0</v>
      </c>
      <c r="AL53" s="70">
        <f t="shared" si="9"/>
        <v>0</v>
      </c>
      <c r="AN53" s="68">
        <f>HLOOKUP($Q$3,$AI$4:$AL$63,50,FALSE)</f>
        <v>0</v>
      </c>
    </row>
    <row r="54" spans="1:40" ht="15.75" customHeight="1">
      <c r="A54" s="22" t="s">
        <v>14</v>
      </c>
      <c r="B54" s="23">
        <v>59.1539719860898</v>
      </c>
      <c r="C54" s="24"/>
      <c r="D54" s="33"/>
      <c r="E54" s="24">
        <v>201.3998872741135</v>
      </c>
      <c r="F54" s="24">
        <v>205.43188727411348</v>
      </c>
      <c r="G54" s="24">
        <v>204.7178872741135</v>
      </c>
      <c r="H54" s="24">
        <v>203.5418872741135</v>
      </c>
      <c r="I54" s="17"/>
      <c r="J54" s="68">
        <f>HLOOKUP($J$3,$E$3:$H$243,52,FALSE)</f>
        <v>201.3998872741135</v>
      </c>
      <c r="L54" s="70">
        <f t="shared" si="0"/>
        <v>201.3998872741135</v>
      </c>
      <c r="M54" s="70">
        <f t="shared" si="1"/>
        <v>222.098246072849</v>
      </c>
      <c r="N54" s="70">
        <f t="shared" si="2"/>
        <v>233.28903085911253</v>
      </c>
      <c r="O54" s="70">
        <f t="shared" si="3"/>
        <v>235.17281848668364</v>
      </c>
      <c r="Q54" s="68">
        <f>HLOOKUP($Q$3,$L$4:$O$63,51,FALSE)</f>
        <v>235.17281848668364</v>
      </c>
      <c r="X54" s="22" t="s">
        <v>14</v>
      </c>
      <c r="Y54" s="23">
        <v>59.1539719860898</v>
      </c>
      <c r="Z54" s="24"/>
      <c r="AA54" s="33"/>
      <c r="AB54" s="24">
        <v>102.50514605725446</v>
      </c>
      <c r="AC54" s="24">
        <v>106.53714605725445</v>
      </c>
      <c r="AD54" s="24">
        <v>105.82314605725448</v>
      </c>
      <c r="AE54" s="24">
        <v>104.64714605725446</v>
      </c>
      <c r="AF54" s="17"/>
      <c r="AG54" s="68">
        <f>HLOOKUP($J$3,$AB$3:$AE$243,52,FALSE)</f>
        <v>102.50514605725446</v>
      </c>
      <c r="AI54" s="70">
        <f t="shared" si="6"/>
        <v>102.50514605725446</v>
      </c>
      <c r="AJ54" s="70">
        <f t="shared" si="7"/>
        <v>123.20350485598998</v>
      </c>
      <c r="AK54" s="70">
        <f t="shared" si="8"/>
        <v>134.3942896422535</v>
      </c>
      <c r="AL54" s="70">
        <f t="shared" si="9"/>
        <v>136.27807726982462</v>
      </c>
      <c r="AN54" s="68">
        <f>HLOOKUP($Q$3,$AI$4:$AL$63,51,FALSE)</f>
        <v>136.27807726982462</v>
      </c>
    </row>
    <row r="55" spans="1:40" ht="15.75" customHeight="1">
      <c r="A55" s="22" t="s">
        <v>15</v>
      </c>
      <c r="B55" s="23">
        <v>59.1539719860898</v>
      </c>
      <c r="C55" s="24"/>
      <c r="D55" s="33"/>
      <c r="E55" s="24">
        <v>213.8528872741135</v>
      </c>
      <c r="F55" s="24">
        <v>221.9168872741135</v>
      </c>
      <c r="G55" s="24">
        <v>220.4888872741135</v>
      </c>
      <c r="H55" s="24">
        <v>218.1368872741135</v>
      </c>
      <c r="I55" s="17"/>
      <c r="J55" s="68">
        <f>HLOOKUP($J$3,$E$3:$H$243,53,FALSE)</f>
        <v>213.8528872741135</v>
      </c>
      <c r="L55" s="70">
        <f t="shared" si="0"/>
        <v>213.8528872741135</v>
      </c>
      <c r="M55" s="70">
        <f t="shared" si="1"/>
        <v>241.4215588591125</v>
      </c>
      <c r="N55" s="70">
        <f t="shared" si="2"/>
        <v>283.84319999999997</v>
      </c>
      <c r="O55" s="70">
        <f t="shared" si="3"/>
        <v>373.128</v>
      </c>
      <c r="Q55" s="68">
        <f>HLOOKUP($Q$3,$L$4:$O$63,52,FALSE)</f>
        <v>373.128</v>
      </c>
      <c r="X55" s="22" t="s">
        <v>15</v>
      </c>
      <c r="Y55" s="23">
        <v>59.1539719860898</v>
      </c>
      <c r="Z55" s="24"/>
      <c r="AA55" s="33"/>
      <c r="AB55" s="24">
        <v>98.19814605725446</v>
      </c>
      <c r="AC55" s="24">
        <v>106.26214605725445</v>
      </c>
      <c r="AD55" s="24">
        <v>104.83414605725446</v>
      </c>
      <c r="AE55" s="24">
        <v>102.48214605725445</v>
      </c>
      <c r="AF55" s="17"/>
      <c r="AG55" s="68">
        <f>HLOOKUP($J$3,$AB$3:$AE$243,53,FALSE)</f>
        <v>98.19814605725446</v>
      </c>
      <c r="AI55" s="70">
        <f t="shared" si="6"/>
        <v>98.19814605725446</v>
      </c>
      <c r="AJ55" s="70">
        <f t="shared" si="7"/>
        <v>125.76681764225347</v>
      </c>
      <c r="AK55" s="70">
        <f t="shared" si="8"/>
        <v>168.18845878314093</v>
      </c>
      <c r="AL55" s="70">
        <f t="shared" si="9"/>
        <v>257.473258783141</v>
      </c>
      <c r="AN55" s="68">
        <f>HLOOKUP($Q$3,$AI$4:$AL$63,52,FALSE)</f>
        <v>257.473258783141</v>
      </c>
    </row>
    <row r="56" spans="1:40" ht="15.75" customHeight="1">
      <c r="A56" s="22" t="s">
        <v>16</v>
      </c>
      <c r="B56" s="23">
        <v>68.22242714955922</v>
      </c>
      <c r="C56" s="24"/>
      <c r="D56" s="33"/>
      <c r="E56" s="24">
        <v>360.01299143603467</v>
      </c>
      <c r="F56" s="24">
        <v>364.0449914360347</v>
      </c>
      <c r="G56" s="24">
        <v>363.3309914360347</v>
      </c>
      <c r="H56" s="24">
        <v>362.15499143603466</v>
      </c>
      <c r="I56" s="17"/>
      <c r="J56" s="68">
        <f>HLOOKUP($J$3,$E$3:$H$243,54,FALSE)</f>
        <v>360.01299143603467</v>
      </c>
      <c r="L56" s="70">
        <f t="shared" si="0"/>
        <v>360.01299143603467</v>
      </c>
      <c r="M56" s="70">
        <f t="shared" si="1"/>
        <v>380.7113502347702</v>
      </c>
      <c r="N56" s="70">
        <f t="shared" si="2"/>
        <v>388.9162409293487</v>
      </c>
      <c r="O56" s="70">
        <f t="shared" si="3"/>
        <v>398.85581250709487</v>
      </c>
      <c r="Q56" s="68">
        <f>HLOOKUP($Q$3,$L$4:$O$63,53,FALSE)</f>
        <v>398.85581250709487</v>
      </c>
      <c r="X56" s="22" t="s">
        <v>16</v>
      </c>
      <c r="Y56" s="23">
        <v>68.22242714955922</v>
      </c>
      <c r="Z56" s="24"/>
      <c r="AA56" s="33"/>
      <c r="AB56" s="24">
        <v>252.04979505570623</v>
      </c>
      <c r="AC56" s="24">
        <v>256.08179505570627</v>
      </c>
      <c r="AD56" s="24">
        <v>255.36779505570627</v>
      </c>
      <c r="AE56" s="24">
        <v>254.19179505570622</v>
      </c>
      <c r="AF56" s="17"/>
      <c r="AG56" s="68">
        <f>HLOOKUP($J$3,$AB$3:$AE$243,54,FALSE)</f>
        <v>252.04979505570623</v>
      </c>
      <c r="AI56" s="70">
        <f t="shared" si="6"/>
        <v>252.04979505570623</v>
      </c>
      <c r="AJ56" s="70">
        <f t="shared" si="7"/>
        <v>272.74815385444174</v>
      </c>
      <c r="AK56" s="70">
        <f t="shared" si="8"/>
        <v>280.95304454902026</v>
      </c>
      <c r="AL56" s="70">
        <f t="shared" si="9"/>
        <v>290.8926161267664</v>
      </c>
      <c r="AN56" s="68">
        <f>HLOOKUP($Q$3,$AI$4:$AL$63,53,FALSE)</f>
        <v>290.8926161267664</v>
      </c>
    </row>
    <row r="57" spans="1:40" ht="15.75" customHeight="1">
      <c r="A57" s="22" t="s">
        <v>17</v>
      </c>
      <c r="B57" s="23">
        <v>68.22242714955922</v>
      </c>
      <c r="C57" s="24"/>
      <c r="D57" s="33"/>
      <c r="E57" s="24">
        <v>372.4659914360347</v>
      </c>
      <c r="F57" s="24">
        <v>380.5299914360347</v>
      </c>
      <c r="G57" s="24">
        <v>379.1019914360347</v>
      </c>
      <c r="H57" s="24">
        <v>376.7499914360347</v>
      </c>
      <c r="I57" s="17"/>
      <c r="J57" s="68">
        <f>HLOOKUP($J$3,$E$3:$H$243,55,FALSE)</f>
        <v>372.4659914360347</v>
      </c>
      <c r="L57" s="70">
        <f t="shared" si="0"/>
        <v>372.4659914360347</v>
      </c>
      <c r="M57" s="70">
        <f t="shared" si="1"/>
        <v>467.66995297449625</v>
      </c>
      <c r="N57" s="70">
        <f t="shared" si="2"/>
        <v>537.7830729744961</v>
      </c>
      <c r="O57" s="70">
        <f t="shared" si="3"/>
        <v>620.1607529744962</v>
      </c>
      <c r="Q57" s="68">
        <f>HLOOKUP($Q$3,$L$4:$O$63,54,FALSE)</f>
        <v>620.1607529744962</v>
      </c>
      <c r="X57" s="22" t="s">
        <v>17</v>
      </c>
      <c r="Y57" s="23">
        <v>68.22242714955922</v>
      </c>
      <c r="Z57" s="24"/>
      <c r="AA57" s="33"/>
      <c r="AB57" s="24">
        <v>207.90279505570624</v>
      </c>
      <c r="AC57" s="24">
        <v>215.96679505570626</v>
      </c>
      <c r="AD57" s="24">
        <v>214.53879505570626</v>
      </c>
      <c r="AE57" s="24">
        <v>212.18679505570623</v>
      </c>
      <c r="AF57" s="17"/>
      <c r="AG57" s="68">
        <f>HLOOKUP($J$3,$AB$3:$AE$243,55,FALSE)</f>
        <v>207.90279505570624</v>
      </c>
      <c r="AI57" s="70">
        <f t="shared" si="6"/>
        <v>207.90279505570624</v>
      </c>
      <c r="AJ57" s="70">
        <f t="shared" si="7"/>
        <v>236.7067565941678</v>
      </c>
      <c r="AK57" s="70">
        <f t="shared" si="8"/>
        <v>253.69987659416768</v>
      </c>
      <c r="AL57" s="70">
        <f t="shared" si="9"/>
        <v>263.03755659416777</v>
      </c>
      <c r="AN57" s="68">
        <f>HLOOKUP($Q$3,$AI$4:$AL$63,54,FALSE)</f>
        <v>263.03755659416777</v>
      </c>
    </row>
    <row r="58" spans="1:40" ht="15.75" customHeight="1">
      <c r="A58" s="22" t="s">
        <v>18</v>
      </c>
      <c r="B58" s="23">
        <v>76.51216828236977</v>
      </c>
      <c r="C58" s="24"/>
      <c r="D58" s="33"/>
      <c r="E58" s="24">
        <v>368.30299143603463</v>
      </c>
      <c r="F58" s="24">
        <v>372.33499143603467</v>
      </c>
      <c r="G58" s="24">
        <v>371.62099143603467</v>
      </c>
      <c r="H58" s="24">
        <v>370.4449914360346</v>
      </c>
      <c r="I58" s="17"/>
      <c r="J58" s="68">
        <f>HLOOKUP($J$3,$E$3:$H$243,56,FALSE)</f>
        <v>368.30299143603463</v>
      </c>
      <c r="L58" s="70">
        <f t="shared" si="0"/>
        <v>368.30299143603463</v>
      </c>
      <c r="M58" s="70">
        <f t="shared" si="1"/>
        <v>389.00135023477014</v>
      </c>
      <c r="N58" s="70">
        <f t="shared" si="2"/>
        <v>397.20624092934867</v>
      </c>
      <c r="O58" s="70">
        <f t="shared" si="3"/>
        <v>407.14581250709483</v>
      </c>
      <c r="Q58" s="68">
        <f>HLOOKUP($Q$3,$L$4:$O$63,55,FALSE)</f>
        <v>407.14581250709483</v>
      </c>
      <c r="X58" s="22" t="s">
        <v>18</v>
      </c>
      <c r="Y58" s="23">
        <v>76.51216828236977</v>
      </c>
      <c r="Z58" s="24"/>
      <c r="AA58" s="33"/>
      <c r="AB58" s="24">
        <v>252.05005392289564</v>
      </c>
      <c r="AC58" s="24">
        <v>256.0820539228957</v>
      </c>
      <c r="AD58" s="24">
        <v>255.36805392289568</v>
      </c>
      <c r="AE58" s="24">
        <v>254.19205392289564</v>
      </c>
      <c r="AF58" s="17"/>
      <c r="AG58" s="68">
        <f>HLOOKUP($J$3,$AB$3:$AE$243,56,FALSE)</f>
        <v>252.05005392289564</v>
      </c>
      <c r="AI58" s="70">
        <f t="shared" si="6"/>
        <v>252.05005392289564</v>
      </c>
      <c r="AJ58" s="70">
        <f t="shared" si="7"/>
        <v>272.74841272163115</v>
      </c>
      <c r="AK58" s="70">
        <f t="shared" si="8"/>
        <v>280.9533034162097</v>
      </c>
      <c r="AL58" s="70">
        <f t="shared" si="9"/>
        <v>290.89287499395584</v>
      </c>
      <c r="AN58" s="68">
        <f>HLOOKUP($Q$3,$AI$4:$AL$63,55,FALSE)</f>
        <v>290.89287499395584</v>
      </c>
    </row>
    <row r="59" spans="1:40" ht="15.75" customHeight="1">
      <c r="A59" s="22" t="s">
        <v>19</v>
      </c>
      <c r="B59" s="23">
        <v>76.51216828236977</v>
      </c>
      <c r="C59" s="24"/>
      <c r="D59" s="33"/>
      <c r="E59" s="24">
        <v>380.7559914360346</v>
      </c>
      <c r="F59" s="24">
        <v>388.8199914360347</v>
      </c>
      <c r="G59" s="24">
        <v>387.3919914360347</v>
      </c>
      <c r="H59" s="24">
        <v>385.03999143603465</v>
      </c>
      <c r="I59" s="17"/>
      <c r="J59" s="68">
        <f>HLOOKUP($J$3,$E$3:$H$243,57,FALSE)</f>
        <v>380.7559914360346</v>
      </c>
      <c r="L59" s="70">
        <f t="shared" si="0"/>
        <v>380.7559914360346</v>
      </c>
      <c r="M59" s="70">
        <f t="shared" si="1"/>
        <v>475.9599529744962</v>
      </c>
      <c r="N59" s="70">
        <f t="shared" si="2"/>
        <v>546.0730729744961</v>
      </c>
      <c r="O59" s="70">
        <f t="shared" si="3"/>
        <v>628.4507529744961</v>
      </c>
      <c r="Q59" s="68">
        <f>HLOOKUP($Q$3,$L$4:$O$63,56,FALSE)</f>
        <v>628.4507529744961</v>
      </c>
      <c r="X59" s="22" t="s">
        <v>19</v>
      </c>
      <c r="Y59" s="23">
        <v>76.51216828236977</v>
      </c>
      <c r="Z59" s="24"/>
      <c r="AA59" s="33"/>
      <c r="AB59" s="24">
        <v>207.9030539228956</v>
      </c>
      <c r="AC59" s="24">
        <v>215.96705392289567</v>
      </c>
      <c r="AD59" s="24">
        <v>214.53905392289568</v>
      </c>
      <c r="AE59" s="24">
        <v>212.18705392289564</v>
      </c>
      <c r="AF59" s="17"/>
      <c r="AG59" s="68">
        <f>HLOOKUP($J$3,$AB$3:$AE$243,57,FALSE)</f>
        <v>207.9030539228956</v>
      </c>
      <c r="AI59" s="70">
        <f t="shared" si="6"/>
        <v>207.9030539228956</v>
      </c>
      <c r="AJ59" s="70">
        <f t="shared" si="7"/>
        <v>236.70701546135723</v>
      </c>
      <c r="AK59" s="70">
        <f t="shared" si="8"/>
        <v>253.7001354613571</v>
      </c>
      <c r="AL59" s="70">
        <f t="shared" si="9"/>
        <v>263.0378154613572</v>
      </c>
      <c r="AN59" s="68">
        <f>HLOOKUP($Q$3,$AI$4:$AL$63,56,FALSE)</f>
        <v>263.0378154613572</v>
      </c>
    </row>
    <row r="60" spans="1:40" ht="15.75" customHeight="1">
      <c r="A60" s="22" t="s">
        <v>20</v>
      </c>
      <c r="B60" s="23">
        <v>76.51216828236977</v>
      </c>
      <c r="C60" s="24"/>
      <c r="D60" s="33"/>
      <c r="E60" s="24">
        <v>433.26562364005963</v>
      </c>
      <c r="F60" s="24">
        <v>437.29762364005967</v>
      </c>
      <c r="G60" s="24">
        <v>436.58362364005967</v>
      </c>
      <c r="H60" s="24">
        <v>435.4076236400597</v>
      </c>
      <c r="I60" s="17"/>
      <c r="J60" s="68">
        <f>HLOOKUP($J$3,$E$3:$H$243,58,FALSE)</f>
        <v>433.26562364005963</v>
      </c>
      <c r="L60" s="70">
        <f t="shared" si="0"/>
        <v>433.26562364005963</v>
      </c>
      <c r="M60" s="70">
        <f t="shared" si="1"/>
        <v>453.96398243879514</v>
      </c>
      <c r="N60" s="70">
        <f t="shared" si="2"/>
        <v>464.10064292735007</v>
      </c>
      <c r="O60" s="70">
        <f t="shared" si="3"/>
        <v>474.04021450509623</v>
      </c>
      <c r="Q60" s="68">
        <f>HLOOKUP($Q$3,$L$4:$O$63,57,FALSE)</f>
        <v>474.04021450509623</v>
      </c>
      <c r="X60" s="22" t="s">
        <v>20</v>
      </c>
      <c r="Y60" s="23">
        <v>76.51216828236977</v>
      </c>
      <c r="Z60" s="24"/>
      <c r="AA60" s="33"/>
      <c r="AB60" s="24">
        <v>317.01268612692064</v>
      </c>
      <c r="AC60" s="24">
        <v>321.0446861269207</v>
      </c>
      <c r="AD60" s="24">
        <v>320.3306861269207</v>
      </c>
      <c r="AE60" s="24">
        <v>319.1546861269207</v>
      </c>
      <c r="AF60" s="17"/>
      <c r="AG60" s="68">
        <f>HLOOKUP($J$3,$AB$3:$AE$243,58,FALSE)</f>
        <v>317.01268612692064</v>
      </c>
      <c r="AI60" s="70">
        <f t="shared" si="6"/>
        <v>317.01268612692064</v>
      </c>
      <c r="AJ60" s="70">
        <f t="shared" si="7"/>
        <v>337.71104492565615</v>
      </c>
      <c r="AK60" s="70">
        <f t="shared" si="8"/>
        <v>347.8477054142111</v>
      </c>
      <c r="AL60" s="70">
        <f t="shared" si="9"/>
        <v>357.78727699195724</v>
      </c>
      <c r="AN60" s="68">
        <f>HLOOKUP($Q$3,$AI$4:$AL$63,57,FALSE)</f>
        <v>357.78727699195724</v>
      </c>
    </row>
    <row r="61" spans="1:40" ht="15.75" customHeight="1">
      <c r="A61" s="22" t="s">
        <v>21</v>
      </c>
      <c r="B61" s="23">
        <v>76.51216828236977</v>
      </c>
      <c r="C61" s="24"/>
      <c r="D61" s="33"/>
      <c r="E61" s="24">
        <v>445.71862364005966</v>
      </c>
      <c r="F61" s="24">
        <v>453.7826236400596</v>
      </c>
      <c r="G61" s="24">
        <v>452.3546236400597</v>
      </c>
      <c r="H61" s="24">
        <v>450.00262364005965</v>
      </c>
      <c r="I61" s="17"/>
      <c r="J61" s="68">
        <f>HLOOKUP($J$3,$E$3:$H$243,59,FALSE)</f>
        <v>445.71862364005966</v>
      </c>
      <c r="L61" s="70">
        <f t="shared" si="0"/>
        <v>445.71862364005966</v>
      </c>
      <c r="M61" s="70">
        <f t="shared" si="1"/>
        <v>578.1065851785212</v>
      </c>
      <c r="N61" s="70">
        <f t="shared" si="2"/>
        <v>666.8117051785212</v>
      </c>
      <c r="O61" s="70">
        <f t="shared" si="3"/>
        <v>734.1387485635212</v>
      </c>
      <c r="Q61" s="68">
        <f>HLOOKUP($Q$3,$L$4:$O$63,58,FALSE)</f>
        <v>734.1387485635212</v>
      </c>
      <c r="X61" s="22" t="s">
        <v>21</v>
      </c>
      <c r="Y61" s="23">
        <v>76.51216828236977</v>
      </c>
      <c r="Z61" s="24"/>
      <c r="AA61" s="33"/>
      <c r="AB61" s="24">
        <v>252.94568612692066</v>
      </c>
      <c r="AC61" s="24">
        <v>261.00968612692066</v>
      </c>
      <c r="AD61" s="24">
        <v>259.58168612692066</v>
      </c>
      <c r="AE61" s="24">
        <v>257.2296861269207</v>
      </c>
      <c r="AF61" s="17"/>
      <c r="AG61" s="68">
        <f>HLOOKUP($J$3,$AB$3:$AE$243,59,FALSE)</f>
        <v>252.94568612692066</v>
      </c>
      <c r="AI61" s="70">
        <f t="shared" si="6"/>
        <v>252.94568612692066</v>
      </c>
      <c r="AJ61" s="70">
        <f t="shared" si="7"/>
        <v>285.7336476653822</v>
      </c>
      <c r="AK61" s="70">
        <f t="shared" si="8"/>
        <v>294.7587676653822</v>
      </c>
      <c r="AL61" s="70">
        <f t="shared" si="9"/>
        <v>252.52581105038223</v>
      </c>
      <c r="AN61" s="68">
        <f>HLOOKUP($Q$3,$AI$4:$AL$63,58,FALSE)</f>
        <v>252.52581105038223</v>
      </c>
    </row>
    <row r="62" spans="1:40" ht="15.75" customHeight="1">
      <c r="A62" s="22" t="s">
        <v>22</v>
      </c>
      <c r="B62" s="23">
        <v>76.51216828236977</v>
      </c>
      <c r="C62" s="24"/>
      <c r="D62" s="33"/>
      <c r="E62" s="24">
        <v>494.9782558440847</v>
      </c>
      <c r="F62" s="24">
        <v>499.01025584408467</v>
      </c>
      <c r="G62" s="24">
        <v>498.2962558440847</v>
      </c>
      <c r="H62" s="24">
        <v>497.1202558440847</v>
      </c>
      <c r="I62" s="17"/>
      <c r="J62" s="68">
        <f>HLOOKUP($J$3,$E$3:$H$243,60,FALSE)</f>
        <v>494.9782558440847</v>
      </c>
      <c r="L62" s="70">
        <f t="shared" si="0"/>
        <v>494.9782558440847</v>
      </c>
      <c r="M62" s="70">
        <f t="shared" si="1"/>
        <v>515.6766146428201</v>
      </c>
      <c r="N62" s="70">
        <f t="shared" si="2"/>
        <v>527.7450449253515</v>
      </c>
      <c r="O62" s="70">
        <f t="shared" si="3"/>
        <v>537.6846165030977</v>
      </c>
      <c r="Q62" s="68">
        <f>HLOOKUP($Q$3,$L$4:$O$63,59,FALSE)</f>
        <v>537.6846165030977</v>
      </c>
      <c r="X62" s="22" t="s">
        <v>22</v>
      </c>
      <c r="Y62" s="23">
        <v>76.51216828236977</v>
      </c>
      <c r="Z62" s="24"/>
      <c r="AA62" s="33"/>
      <c r="AB62" s="24">
        <v>378.7253183309457</v>
      </c>
      <c r="AC62" s="24">
        <v>382.7573183309457</v>
      </c>
      <c r="AD62" s="24">
        <v>382.04331833094574</v>
      </c>
      <c r="AE62" s="24">
        <v>380.8673183309457</v>
      </c>
      <c r="AF62" s="17"/>
      <c r="AG62" s="68">
        <f>HLOOKUP($J$3,$AB$3:$AE$243,60,FALSE)</f>
        <v>378.7253183309457</v>
      </c>
      <c r="AI62" s="70">
        <f t="shared" si="6"/>
        <v>378.7253183309457</v>
      </c>
      <c r="AJ62" s="70">
        <f t="shared" si="7"/>
        <v>399.42367712968115</v>
      </c>
      <c r="AK62" s="70">
        <f t="shared" si="8"/>
        <v>411.49210741221253</v>
      </c>
      <c r="AL62" s="70">
        <f t="shared" si="9"/>
        <v>421.4316789899587</v>
      </c>
      <c r="AN62" s="68">
        <f>HLOOKUP($Q$3,$AI$4:$AL$63,59,FALSE)</f>
        <v>421.4316789899587</v>
      </c>
    </row>
    <row r="63" spans="1:40" ht="15.75" customHeight="1">
      <c r="A63" s="38" t="s">
        <v>23</v>
      </c>
      <c r="B63" s="39">
        <v>76.51216828236977</v>
      </c>
      <c r="C63" s="40"/>
      <c r="D63" s="33"/>
      <c r="E63" s="40">
        <v>507.43125584408466</v>
      </c>
      <c r="F63" s="40">
        <v>515.4952558440847</v>
      </c>
      <c r="G63" s="40">
        <v>514.0672558440847</v>
      </c>
      <c r="H63" s="40">
        <v>511.71525584408465</v>
      </c>
      <c r="I63" s="17"/>
      <c r="J63" s="68">
        <f>HLOOKUP($J$3,$E$3:$H$243,61,FALSE)</f>
        <v>507.43125584408466</v>
      </c>
      <c r="L63" s="70">
        <f t="shared" si="0"/>
        <v>507.43125584408466</v>
      </c>
      <c r="M63" s="70">
        <f t="shared" si="1"/>
        <v>677.0032173825462</v>
      </c>
      <c r="N63" s="70">
        <f t="shared" si="2"/>
        <v>764.6017007675462</v>
      </c>
      <c r="O63" s="70">
        <f t="shared" si="3"/>
        <v>795.8513807675463</v>
      </c>
      <c r="Q63" s="68">
        <f>HLOOKUP($Q$3,$L$4:$O$63,60,FALSE)</f>
        <v>795.8513807675463</v>
      </c>
      <c r="X63" s="38" t="s">
        <v>23</v>
      </c>
      <c r="Y63" s="39">
        <v>76.51216828236977</v>
      </c>
      <c r="Z63" s="40"/>
      <c r="AA63" s="33"/>
      <c r="AB63" s="40">
        <v>294.7383183309457</v>
      </c>
      <c r="AC63" s="40">
        <v>302.8023183309457</v>
      </c>
      <c r="AD63" s="40">
        <v>301.3743183309457</v>
      </c>
      <c r="AE63" s="40">
        <v>299.02231833094567</v>
      </c>
      <c r="AF63" s="17"/>
      <c r="AG63" s="68">
        <f>HLOOKUP($J$3,$AB$3:$AE$243,61,FALSE)</f>
        <v>294.7383183309457</v>
      </c>
      <c r="AI63" s="70">
        <f t="shared" si="6"/>
        <v>294.7383183309457</v>
      </c>
      <c r="AJ63" s="70">
        <f t="shared" si="7"/>
        <v>331.51027986940716</v>
      </c>
      <c r="AK63" s="70">
        <f t="shared" si="8"/>
        <v>312.8687632544072</v>
      </c>
      <c r="AL63" s="70">
        <f t="shared" si="9"/>
        <v>198.0384432544073</v>
      </c>
      <c r="AN63" s="68">
        <f>HLOOKUP($Q$3,$AI$4:$AL$63,60,FALSE)</f>
        <v>198.0384432544073</v>
      </c>
    </row>
    <row r="64" spans="1:40" ht="15.75" customHeight="1">
      <c r="A64" s="18" t="s">
        <v>9</v>
      </c>
      <c r="B64" s="13" t="s">
        <v>8</v>
      </c>
      <c r="C64" s="14" t="s">
        <v>29</v>
      </c>
      <c r="E64" s="14" t="s">
        <v>5</v>
      </c>
      <c r="F64" s="14" t="s">
        <v>5</v>
      </c>
      <c r="G64" s="14" t="s">
        <v>5</v>
      </c>
      <c r="H64" s="14" t="s">
        <v>5</v>
      </c>
      <c r="I64" s="61"/>
      <c r="J64" s="68" t="str">
        <f>HLOOKUP($J$3,$E$3:$H$243,62,FALSE)</f>
        <v>Part-time - 16 hours</v>
      </c>
      <c r="Q64" s="68"/>
      <c r="X64" s="18" t="s">
        <v>9</v>
      </c>
      <c r="Y64" s="13" t="s">
        <v>8</v>
      </c>
      <c r="Z64" s="14" t="s">
        <v>29</v>
      </c>
      <c r="AB64" s="14" t="s">
        <v>5</v>
      </c>
      <c r="AC64" s="14" t="s">
        <v>5</v>
      </c>
      <c r="AD64" s="14" t="s">
        <v>5</v>
      </c>
      <c r="AE64" s="14" t="s">
        <v>5</v>
      </c>
      <c r="AF64" s="61"/>
      <c r="AG64" s="68" t="str">
        <f>HLOOKUP($J$3,$AB$3:$AE$243,62,FALSE)</f>
        <v>Part-time - 16 hours</v>
      </c>
      <c r="AN64" s="68"/>
    </row>
    <row r="65" spans="1:33" ht="15.75" customHeight="1">
      <c r="A65" s="22" t="s">
        <v>10</v>
      </c>
      <c r="B65" s="23">
        <v>200.05625406835097</v>
      </c>
      <c r="C65" s="24">
        <v>286.3891799891346</v>
      </c>
      <c r="E65" s="24">
        <v>315.1298389519839</v>
      </c>
      <c r="F65" s="24">
        <v>320.35223895198396</v>
      </c>
      <c r="G65" s="24">
        <v>319.42743895198396</v>
      </c>
      <c r="H65" s="24">
        <v>317.9042389519839</v>
      </c>
      <c r="I65" s="17"/>
      <c r="J65" s="68">
        <f>HLOOKUP($J$3,$E$3:$H$243,63,FALSE)</f>
        <v>315.1298389519839</v>
      </c>
      <c r="X65" s="22" t="s">
        <v>10</v>
      </c>
      <c r="Y65" s="23">
        <v>200.05625406835097</v>
      </c>
      <c r="Z65" s="24">
        <v>286.3891799891346</v>
      </c>
      <c r="AB65" s="24">
        <v>65.04435411440218</v>
      </c>
      <c r="AC65" s="24">
        <v>70.26675411440223</v>
      </c>
      <c r="AD65" s="24">
        <v>69.34195411440223</v>
      </c>
      <c r="AE65" s="24">
        <v>67.8187541144022</v>
      </c>
      <c r="AF65" s="17"/>
      <c r="AG65" s="68">
        <f>HLOOKUP($J$3,$AB$3:$AE$243,63,FALSE)</f>
        <v>65.04435411440218</v>
      </c>
    </row>
    <row r="66" spans="1:33" ht="15.75" customHeight="1">
      <c r="A66" s="22" t="s">
        <v>11</v>
      </c>
      <c r="B66" s="23">
        <v>229.30359875081356</v>
      </c>
      <c r="C66" s="24">
        <v>455.4222841510558</v>
      </c>
      <c r="E66" s="24">
        <v>590.1153995356711</v>
      </c>
      <c r="F66" s="24">
        <v>600.8673995356712</v>
      </c>
      <c r="G66" s="24">
        <v>598.9633995356712</v>
      </c>
      <c r="H66" s="24">
        <v>595.8273995356711</v>
      </c>
      <c r="I66" s="17"/>
      <c r="J66" s="68">
        <f>HLOOKUP($J$3,$E$3:$H$243,64,FALSE)</f>
        <v>590.1153995356711</v>
      </c>
      <c r="X66" s="22" t="s">
        <v>11</v>
      </c>
      <c r="Y66" s="23">
        <v>229.30359875081356</v>
      </c>
      <c r="Z66" s="24">
        <v>455.4222841510558</v>
      </c>
      <c r="AB66" s="24">
        <v>177.66257001562684</v>
      </c>
      <c r="AC66" s="24">
        <v>188.4145700156269</v>
      </c>
      <c r="AD66" s="24">
        <v>186.5105700156269</v>
      </c>
      <c r="AE66" s="24">
        <v>183.37457001562683</v>
      </c>
      <c r="AF66" s="17"/>
      <c r="AG66" s="68">
        <f>HLOOKUP($J$3,$AB$3:$AE$243,64,FALSE)</f>
        <v>177.66257001562684</v>
      </c>
    </row>
    <row r="67" spans="1:33" ht="15.75" customHeight="1">
      <c r="A67" s="22" t="s">
        <v>12</v>
      </c>
      <c r="B67" s="23">
        <v>200.05625406835097</v>
      </c>
      <c r="C67" s="24">
        <v>323.6317334279596</v>
      </c>
      <c r="E67" s="24"/>
      <c r="F67" s="24"/>
      <c r="G67" s="24"/>
      <c r="H67" s="24"/>
      <c r="I67" s="17"/>
      <c r="J67" s="68">
        <f>HLOOKUP($J$3,$E$3:$H$243,65,FALSE)</f>
        <v>0</v>
      </c>
      <c r="X67" s="22" t="s">
        <v>12</v>
      </c>
      <c r="Y67" s="23">
        <v>200.05625406835097</v>
      </c>
      <c r="Z67" s="24">
        <v>323.6317334279596</v>
      </c>
      <c r="AB67" s="24"/>
      <c r="AC67" s="24"/>
      <c r="AD67" s="24"/>
      <c r="AE67" s="24"/>
      <c r="AF67" s="17"/>
      <c r="AG67" s="68">
        <f>HLOOKUP($J$3,$AB$3:$AE$243,65,FALSE)</f>
        <v>0</v>
      </c>
    </row>
    <row r="68" spans="1:33" ht="15.75" customHeight="1">
      <c r="A68" s="22" t="s">
        <v>13</v>
      </c>
      <c r="B68" s="23">
        <v>229.30359875081356</v>
      </c>
      <c r="C68" s="24">
        <v>492.66483758988085</v>
      </c>
      <c r="E68" s="24"/>
      <c r="F68" s="24"/>
      <c r="G68" s="24"/>
      <c r="H68" s="24"/>
      <c r="I68" s="17"/>
      <c r="J68" s="68">
        <f>HLOOKUP($J$3,$E$3:$H$243,66,FALSE)</f>
        <v>0</v>
      </c>
      <c r="X68" s="22" t="s">
        <v>13</v>
      </c>
      <c r="Y68" s="23">
        <v>229.30359875081356</v>
      </c>
      <c r="Z68" s="24">
        <v>492.66483758988085</v>
      </c>
      <c r="AB68" s="24"/>
      <c r="AC68" s="24"/>
      <c r="AD68" s="24"/>
      <c r="AE68" s="24"/>
      <c r="AF68" s="17"/>
      <c r="AG68" s="68">
        <f>HLOOKUP($J$3,$AB$3:$AE$243,66,FALSE)</f>
        <v>0</v>
      </c>
    </row>
    <row r="69" spans="1:33" ht="15.75" customHeight="1">
      <c r="A69" s="22" t="s">
        <v>14</v>
      </c>
      <c r="B69" s="23">
        <v>200.05625406835097</v>
      </c>
      <c r="C69" s="24"/>
      <c r="E69" s="24">
        <v>363.2823392235339</v>
      </c>
      <c r="F69" s="24">
        <v>371.6984520097974</v>
      </c>
      <c r="G69" s="24">
        <v>370.7736520097974</v>
      </c>
      <c r="H69" s="24">
        <v>368.99433922353387</v>
      </c>
      <c r="I69" s="17"/>
      <c r="J69" s="68">
        <f>HLOOKUP($J$3,$E$3:$H$243,67,FALSE)</f>
        <v>363.2823392235339</v>
      </c>
      <c r="X69" s="22" t="s">
        <v>14</v>
      </c>
      <c r="Y69" s="23">
        <v>200.05625406835097</v>
      </c>
      <c r="Z69" s="24"/>
      <c r="AB69" s="24">
        <v>113.19685438595215</v>
      </c>
      <c r="AC69" s="24">
        <v>121.61296717221566</v>
      </c>
      <c r="AD69" s="24">
        <v>120.68816717221566</v>
      </c>
      <c r="AE69" s="24">
        <v>118.90885438595214</v>
      </c>
      <c r="AF69" s="17"/>
      <c r="AG69" s="68">
        <f>HLOOKUP($J$3,$AB$3:$AE$243,67,FALSE)</f>
        <v>113.19685438595215</v>
      </c>
    </row>
    <row r="70" spans="1:33" ht="15.75" customHeight="1">
      <c r="A70" s="22" t="s">
        <v>15</v>
      </c>
      <c r="B70" s="23">
        <v>200.05625406835097</v>
      </c>
      <c r="C70" s="24"/>
      <c r="E70" s="24">
        <v>382.6056520097974</v>
      </c>
      <c r="F70" s="24">
        <v>397.10284881257496</v>
      </c>
      <c r="G70" s="24">
        <v>393.29484881257497</v>
      </c>
      <c r="H70" s="25">
        <v>388.1544520097974</v>
      </c>
      <c r="I70" s="64"/>
      <c r="J70" s="68">
        <f>HLOOKUP($J$3,$E$3:$H$243,68,FALSE)</f>
        <v>382.6056520097974</v>
      </c>
      <c r="X70" s="22" t="s">
        <v>15</v>
      </c>
      <c r="Y70" s="23">
        <v>200.05625406835097</v>
      </c>
      <c r="Z70" s="24"/>
      <c r="AB70" s="24">
        <v>105.76016717221563</v>
      </c>
      <c r="AC70" s="24">
        <v>120.25736397499321</v>
      </c>
      <c r="AD70" s="24">
        <v>116.44936397499322</v>
      </c>
      <c r="AE70" s="25">
        <v>111.30896717221566</v>
      </c>
      <c r="AF70" s="64"/>
      <c r="AG70" s="68">
        <f>HLOOKUP($J$3,$AB$3:$AE$243,68,FALSE)</f>
        <v>105.76016717221563</v>
      </c>
    </row>
    <row r="71" spans="1:33" ht="15.75" customHeight="1">
      <c r="A71" s="22" t="s">
        <v>16</v>
      </c>
      <c r="B71" s="23">
        <v>229.30359875081356</v>
      </c>
      <c r="C71" s="24"/>
      <c r="E71" s="24">
        <v>542.0654433854552</v>
      </c>
      <c r="F71" s="24">
        <v>552.8174433854551</v>
      </c>
      <c r="G71" s="24">
        <v>550.9134433854551</v>
      </c>
      <c r="H71" s="24">
        <v>547.7774433854552</v>
      </c>
      <c r="I71" s="17"/>
      <c r="J71" s="68">
        <f>HLOOKUP($J$3,$E$3:$H$243,69,FALSE)</f>
        <v>542.0654433854552</v>
      </c>
      <c r="X71" s="22" t="s">
        <v>16</v>
      </c>
      <c r="Y71" s="23">
        <v>229.30359875081356</v>
      </c>
      <c r="Z71" s="24"/>
      <c r="AB71" s="24">
        <v>262.7326138654108</v>
      </c>
      <c r="AC71" s="24">
        <v>273.4846138654108</v>
      </c>
      <c r="AD71" s="24">
        <v>271.5806138654108</v>
      </c>
      <c r="AE71" s="24">
        <v>268.4446138654108</v>
      </c>
      <c r="AF71" s="17"/>
      <c r="AG71" s="68">
        <f>HLOOKUP($J$3,$AB$3:$AE$243,69,FALSE)</f>
        <v>262.7326138654108</v>
      </c>
    </row>
    <row r="72" spans="1:33" ht="15.75" customHeight="1">
      <c r="A72" s="22" t="s">
        <v>17</v>
      </c>
      <c r="B72" s="23">
        <v>229.30359875081356</v>
      </c>
      <c r="C72" s="24"/>
      <c r="E72" s="24">
        <v>647.5659529744962</v>
      </c>
      <c r="F72" s="24">
        <v>669.0699529744962</v>
      </c>
      <c r="G72" s="24">
        <v>665.2619529744962</v>
      </c>
      <c r="H72" s="24">
        <v>658.9899529744962</v>
      </c>
      <c r="I72" s="17"/>
      <c r="J72" s="68">
        <f>HLOOKUP($J$3,$E$3:$H$243,70,FALSE)</f>
        <v>647.5659529744962</v>
      </c>
      <c r="X72" s="22" t="s">
        <v>17</v>
      </c>
      <c r="Y72" s="23">
        <v>229.30359875081356</v>
      </c>
      <c r="Z72" s="24"/>
      <c r="AB72" s="24">
        <v>208.35312345445186</v>
      </c>
      <c r="AC72" s="24">
        <v>229.85712345445188</v>
      </c>
      <c r="AD72" s="24">
        <v>226.0491234544519</v>
      </c>
      <c r="AE72" s="24">
        <v>219.77712345445184</v>
      </c>
      <c r="AF72" s="17"/>
      <c r="AG72" s="68">
        <f>HLOOKUP($J$3,$AB$3:$AE$243,70,FALSE)</f>
        <v>208.35312345445186</v>
      </c>
    </row>
    <row r="73" spans="1:33" ht="15.75" customHeight="1">
      <c r="A73" s="22" t="s">
        <v>18</v>
      </c>
      <c r="B73" s="23">
        <v>265.8999350974548</v>
      </c>
      <c r="C73" s="24"/>
      <c r="E73" s="24">
        <v>578.6654433854551</v>
      </c>
      <c r="F73" s="25">
        <v>589.417443385455</v>
      </c>
      <c r="G73" s="24">
        <v>587.513443385455</v>
      </c>
      <c r="H73" s="24">
        <v>584.3774433854551</v>
      </c>
      <c r="I73" s="17"/>
      <c r="J73" s="68">
        <f>HLOOKUP($J$3,$E$3:$H$243,71,FALSE)</f>
        <v>578.6654433854551</v>
      </c>
      <c r="X73" s="22" t="s">
        <v>18</v>
      </c>
      <c r="Y73" s="23">
        <v>265.8999350974548</v>
      </c>
      <c r="Z73" s="24"/>
      <c r="AB73" s="24">
        <v>262.73627751876955</v>
      </c>
      <c r="AC73" s="25">
        <v>273.4882775187695</v>
      </c>
      <c r="AD73" s="24">
        <v>271.5842775187695</v>
      </c>
      <c r="AE73" s="24">
        <v>268.44827751876954</v>
      </c>
      <c r="AF73" s="17"/>
      <c r="AG73" s="68">
        <f>HLOOKUP($J$3,$AB$3:$AE$243,71,FALSE)</f>
        <v>262.73627751876955</v>
      </c>
    </row>
    <row r="74" spans="1:33" ht="15.75" customHeight="1">
      <c r="A74" s="22" t="s">
        <v>19</v>
      </c>
      <c r="B74" s="23">
        <v>265.8999350974548</v>
      </c>
      <c r="C74" s="24"/>
      <c r="E74" s="24">
        <v>684.1659529744961</v>
      </c>
      <c r="F74" s="24">
        <v>705.6699529744961</v>
      </c>
      <c r="G74" s="24">
        <v>701.8619529744961</v>
      </c>
      <c r="H74" s="24">
        <v>695.5899529744961</v>
      </c>
      <c r="I74" s="17"/>
      <c r="J74" s="68">
        <f>HLOOKUP($J$3,$E$3:$H$243,72,FALSE)</f>
        <v>684.1659529744961</v>
      </c>
      <c r="X74" s="22" t="s">
        <v>19</v>
      </c>
      <c r="Y74" s="23">
        <v>265.8999350974548</v>
      </c>
      <c r="Z74" s="24"/>
      <c r="AB74" s="24">
        <v>208.3567871078106</v>
      </c>
      <c r="AC74" s="24">
        <v>229.8607871078106</v>
      </c>
      <c r="AD74" s="24">
        <v>226.05278710781062</v>
      </c>
      <c r="AE74" s="24">
        <v>219.78078710781057</v>
      </c>
      <c r="AF74" s="17"/>
      <c r="AG74" s="68">
        <f>HLOOKUP($J$3,$AB$3:$AE$243,72,FALSE)</f>
        <v>208.3567871078106</v>
      </c>
    </row>
    <row r="75" spans="1:33" ht="15.75" customHeight="1">
      <c r="A75" s="22" t="s">
        <v>20</v>
      </c>
      <c r="B75" s="23">
        <v>265.8999350974548</v>
      </c>
      <c r="C75" s="24"/>
      <c r="E75" s="24">
        <v>594.88</v>
      </c>
      <c r="F75" s="24">
        <v>625.6</v>
      </c>
      <c r="G75" s="24">
        <v>620.1600000000001</v>
      </c>
      <c r="H75" s="24">
        <v>611.2</v>
      </c>
      <c r="I75" s="17"/>
      <c r="J75" s="68">
        <f>HLOOKUP($J$3,$E$3:$H$243,73,FALSE)</f>
        <v>594.88</v>
      </c>
      <c r="X75" s="22" t="s">
        <v>20</v>
      </c>
      <c r="Y75" s="23">
        <v>265.8999350974548</v>
      </c>
      <c r="Z75" s="24"/>
      <c r="AB75" s="24">
        <v>278.95083413331446</v>
      </c>
      <c r="AC75" s="24">
        <v>309.6708341333145</v>
      </c>
      <c r="AD75" s="24">
        <v>304.23083413331454</v>
      </c>
      <c r="AE75" s="24">
        <v>295.2708341333145</v>
      </c>
      <c r="AF75" s="17"/>
      <c r="AG75" s="68">
        <f>HLOOKUP($J$3,$AB$3:$AE$243,73,FALSE)</f>
        <v>278.95083413331446</v>
      </c>
    </row>
    <row r="76" spans="1:33" ht="15.75" customHeight="1">
      <c r="A76" s="22" t="s">
        <v>21</v>
      </c>
      <c r="B76" s="23">
        <v>265.8999350974548</v>
      </c>
      <c r="C76" s="24"/>
      <c r="E76" s="24">
        <v>795.7205851785211</v>
      </c>
      <c r="F76" s="24">
        <v>817.2245851785212</v>
      </c>
      <c r="G76" s="24">
        <v>813.4165851785212</v>
      </c>
      <c r="H76" s="24">
        <v>807.1445851785211</v>
      </c>
      <c r="I76" s="17"/>
      <c r="J76" s="68">
        <f>HLOOKUP($J$3,$E$3:$H$243,74,FALSE)</f>
        <v>795.7205851785211</v>
      </c>
      <c r="X76" s="22" t="s">
        <v>21</v>
      </c>
      <c r="Y76" s="23">
        <v>265.8999350974548</v>
      </c>
      <c r="Z76" s="24"/>
      <c r="AB76" s="24">
        <v>253.35141931183557</v>
      </c>
      <c r="AC76" s="24">
        <v>274.8554193118357</v>
      </c>
      <c r="AD76" s="24">
        <v>271.0474193118357</v>
      </c>
      <c r="AE76" s="24">
        <v>264.77541931183555</v>
      </c>
      <c r="AF76" s="17"/>
      <c r="AG76" s="68">
        <f>HLOOKUP($J$3,$AB$3:$AE$243,74,FALSE)</f>
        <v>253.35141931183557</v>
      </c>
    </row>
    <row r="77" spans="1:33" ht="15.75" customHeight="1">
      <c r="A77" s="22" t="s">
        <v>22</v>
      </c>
      <c r="B77" s="23">
        <v>265.8999350974548</v>
      </c>
      <c r="C77" s="24"/>
      <c r="E77" s="24">
        <v>594.88</v>
      </c>
      <c r="F77" s="24">
        <v>625.6</v>
      </c>
      <c r="G77" s="24">
        <v>620.16</v>
      </c>
      <c r="H77" s="24">
        <v>611.2</v>
      </c>
      <c r="I77" s="17"/>
      <c r="J77" s="68">
        <f>HLOOKUP($J$3,$E$3:$H$243,75,FALSE)</f>
        <v>594.88</v>
      </c>
      <c r="X77" s="22" t="s">
        <v>22</v>
      </c>
      <c r="Y77" s="23">
        <v>265.8999350974548</v>
      </c>
      <c r="Z77" s="24"/>
      <c r="AB77" s="24">
        <v>278.95083413331446</v>
      </c>
      <c r="AC77" s="24">
        <v>309.6708341333145</v>
      </c>
      <c r="AD77" s="24">
        <v>304.23083413331443</v>
      </c>
      <c r="AE77" s="24">
        <v>295.2708341333145</v>
      </c>
      <c r="AF77" s="17"/>
      <c r="AG77" s="68">
        <f>HLOOKUP($J$3,$AB$3:$AE$243,75,FALSE)</f>
        <v>278.95083413331446</v>
      </c>
    </row>
    <row r="78" spans="1:33" ht="15.75" customHeight="1">
      <c r="A78" s="22" t="s">
        <v>23</v>
      </c>
      <c r="B78" s="23">
        <v>265.8999350974548</v>
      </c>
      <c r="C78" s="24"/>
      <c r="E78" s="24">
        <v>904.0252173825461</v>
      </c>
      <c r="F78" s="24">
        <v>925.5292173825462</v>
      </c>
      <c r="G78" s="24">
        <v>921.7212173825462</v>
      </c>
      <c r="H78" s="24">
        <v>915.4492173825461</v>
      </c>
      <c r="I78" s="17"/>
      <c r="J78" s="68">
        <f>HLOOKUP($J$3,$E$3:$H$243,76,FALSE)</f>
        <v>904.0252173825461</v>
      </c>
      <c r="X78" s="22" t="s">
        <v>23</v>
      </c>
      <c r="Y78" s="23">
        <v>265.8999350974548</v>
      </c>
      <c r="Z78" s="24"/>
      <c r="AB78" s="24">
        <v>295.0960515158606</v>
      </c>
      <c r="AC78" s="24">
        <v>316.60005151586074</v>
      </c>
      <c r="AD78" s="24">
        <v>312.79205151586075</v>
      </c>
      <c r="AE78" s="24">
        <v>306.5200515158606</v>
      </c>
      <c r="AF78" s="17"/>
      <c r="AG78" s="68">
        <f>HLOOKUP($J$3,$AB$3:$AE$243,76,FALSE)</f>
        <v>295.0960515158606</v>
      </c>
    </row>
    <row r="79" spans="1:33" ht="15.75" customHeight="1">
      <c r="A79" s="18" t="s">
        <v>24</v>
      </c>
      <c r="B79" s="13" t="s">
        <v>8</v>
      </c>
      <c r="C79" s="14" t="s">
        <v>29</v>
      </c>
      <c r="E79" s="14" t="s">
        <v>5</v>
      </c>
      <c r="F79" s="14" t="s">
        <v>5</v>
      </c>
      <c r="G79" s="14" t="s">
        <v>5</v>
      </c>
      <c r="H79" s="14" t="s">
        <v>5</v>
      </c>
      <c r="I79" s="61"/>
      <c r="J79" s="68" t="str">
        <f>HLOOKUP($J$3,$E$3:$H$243,77,FALSE)</f>
        <v>Part-time - 16 hours</v>
      </c>
      <c r="X79" s="18" t="s">
        <v>24</v>
      </c>
      <c r="Y79" s="13" t="s">
        <v>8</v>
      </c>
      <c r="Z79" s="14" t="s">
        <v>29</v>
      </c>
      <c r="AB79" s="14" t="s">
        <v>5</v>
      </c>
      <c r="AC79" s="14" t="s">
        <v>5</v>
      </c>
      <c r="AD79" s="14" t="s">
        <v>5</v>
      </c>
      <c r="AE79" s="14" t="s">
        <v>5</v>
      </c>
      <c r="AF79" s="61"/>
      <c r="AG79" s="68" t="str">
        <f>HLOOKUP($J$3,$AB$3:$AE$243,77,FALSE)</f>
        <v>Part-time - 16 hours</v>
      </c>
    </row>
    <row r="80" spans="1:33" ht="15.75" customHeight="1">
      <c r="A80" s="22" t="s">
        <v>10</v>
      </c>
      <c r="B80" s="23">
        <v>73.89554166666649</v>
      </c>
      <c r="C80" s="24">
        <v>160.22917998913465</v>
      </c>
      <c r="E80" s="24">
        <v>188.96983895198395</v>
      </c>
      <c r="F80" s="24">
        <v>194.19223895198394</v>
      </c>
      <c r="G80" s="24">
        <v>193.26743895198393</v>
      </c>
      <c r="H80" s="24">
        <v>191.74423895198393</v>
      </c>
      <c r="I80" s="17"/>
      <c r="J80" s="68">
        <f>HLOOKUP($J$3,$E$3:$H$243,78,FALSE)</f>
        <v>188.96983895198395</v>
      </c>
      <c r="X80" s="22" t="s">
        <v>10</v>
      </c>
      <c r="Y80" s="23">
        <v>73.89554166666649</v>
      </c>
      <c r="Z80" s="24">
        <v>160.22917998913465</v>
      </c>
      <c r="AB80" s="24">
        <v>65.04506651608668</v>
      </c>
      <c r="AC80" s="24">
        <v>70.26746651608667</v>
      </c>
      <c r="AD80" s="24">
        <v>69.34266651608667</v>
      </c>
      <c r="AE80" s="24">
        <v>67.81946651608666</v>
      </c>
      <c r="AF80" s="17"/>
      <c r="AG80" s="68">
        <f>HLOOKUP($J$3,$AB$3:$AE$243,78,FALSE)</f>
        <v>65.04506651608668</v>
      </c>
    </row>
    <row r="81" spans="1:33" ht="15.75" customHeight="1">
      <c r="A81" s="22" t="s">
        <v>11</v>
      </c>
      <c r="B81" s="23">
        <v>84.69874493410276</v>
      </c>
      <c r="C81" s="24">
        <v>310.82228415105584</v>
      </c>
      <c r="E81" s="24">
        <v>445.5153995356712</v>
      </c>
      <c r="F81" s="24">
        <v>456.2673995356712</v>
      </c>
      <c r="G81" s="24">
        <v>454.3633995356712</v>
      </c>
      <c r="H81" s="24">
        <v>451.22739953567117</v>
      </c>
      <c r="I81" s="17"/>
      <c r="J81" s="68">
        <f>HLOOKUP($J$3,$E$3:$H$243,79,FALSE)</f>
        <v>445.5153995356712</v>
      </c>
      <c r="X81" s="22" t="s">
        <v>11</v>
      </c>
      <c r="Y81" s="23">
        <v>84.69874493410276</v>
      </c>
      <c r="Z81" s="24">
        <v>310.82228415105584</v>
      </c>
      <c r="AB81" s="24">
        <v>177.66742383233765</v>
      </c>
      <c r="AC81" s="24">
        <v>188.41942383233766</v>
      </c>
      <c r="AD81" s="24">
        <v>186.51542383233766</v>
      </c>
      <c r="AE81" s="24">
        <v>183.37942383233764</v>
      </c>
      <c r="AF81" s="17"/>
      <c r="AG81" s="68">
        <f>HLOOKUP($J$3,$AB$3:$AE$243,79,FALSE)</f>
        <v>177.66742383233765</v>
      </c>
    </row>
    <row r="82" spans="1:33" ht="15.75" customHeight="1">
      <c r="A82" s="22" t="s">
        <v>12</v>
      </c>
      <c r="B82" s="23">
        <v>73.89554166666649</v>
      </c>
      <c r="C82" s="24">
        <v>197.47173342795966</v>
      </c>
      <c r="E82" s="24"/>
      <c r="F82" s="24"/>
      <c r="G82" s="24"/>
      <c r="H82" s="24"/>
      <c r="I82" s="17"/>
      <c r="J82" s="68">
        <f>HLOOKUP($J$3,$E$3:$H$243,80,FALSE)</f>
        <v>0</v>
      </c>
      <c r="X82" s="22" t="s">
        <v>12</v>
      </c>
      <c r="Y82" s="23">
        <v>73.89554166666649</v>
      </c>
      <c r="Z82" s="24">
        <v>197.47173342795966</v>
      </c>
      <c r="AB82" s="24"/>
      <c r="AC82" s="24"/>
      <c r="AD82" s="24"/>
      <c r="AE82" s="24"/>
      <c r="AF82" s="17"/>
      <c r="AG82" s="68">
        <f>HLOOKUP($J$3,$AB$3:$AE$243,80,FALSE)</f>
        <v>0</v>
      </c>
    </row>
    <row r="83" spans="1:33" ht="15.75" customHeight="1">
      <c r="A83" s="22" t="s">
        <v>13</v>
      </c>
      <c r="B83" s="23">
        <v>84.69874493410276</v>
      </c>
      <c r="C83" s="24">
        <v>348.0648375898808</v>
      </c>
      <c r="E83" s="24"/>
      <c r="F83" s="24"/>
      <c r="G83" s="24"/>
      <c r="H83" s="24"/>
      <c r="I83" s="17"/>
      <c r="J83" s="68">
        <f>HLOOKUP($J$3,$E$3:$H$243,81,FALSE)</f>
        <v>0</v>
      </c>
      <c r="X83" s="22" t="s">
        <v>13</v>
      </c>
      <c r="Y83" s="23">
        <v>84.69874493410276</v>
      </c>
      <c r="Z83" s="24">
        <v>348.0648375898808</v>
      </c>
      <c r="AB83" s="24"/>
      <c r="AC83" s="24"/>
      <c r="AD83" s="24"/>
      <c r="AE83" s="24"/>
      <c r="AF83" s="17"/>
      <c r="AG83" s="68">
        <f>HLOOKUP($J$3,$AB$3:$AE$243,81,FALSE)</f>
        <v>0</v>
      </c>
    </row>
    <row r="84" spans="1:33" ht="15.75" customHeight="1">
      <c r="A84" s="22" t="s">
        <v>14</v>
      </c>
      <c r="B84" s="23">
        <v>73.89554166666649</v>
      </c>
      <c r="C84" s="24"/>
      <c r="E84" s="24">
        <v>237.12233922353394</v>
      </c>
      <c r="F84" s="24">
        <v>245.53845200979742</v>
      </c>
      <c r="G84" s="24">
        <v>244.61365200979742</v>
      </c>
      <c r="H84" s="24">
        <v>242.83433922353396</v>
      </c>
      <c r="I84" s="17"/>
      <c r="J84" s="68">
        <f>HLOOKUP($J$3,$E$3:$H$243,82,FALSE)</f>
        <v>237.12233922353394</v>
      </c>
      <c r="X84" s="22" t="s">
        <v>14</v>
      </c>
      <c r="Y84" s="23">
        <v>73.89554166666649</v>
      </c>
      <c r="Z84" s="24"/>
      <c r="AB84" s="24">
        <v>113.19756678763667</v>
      </c>
      <c r="AC84" s="24">
        <v>121.61367957390016</v>
      </c>
      <c r="AD84" s="24">
        <v>120.68887957390015</v>
      </c>
      <c r="AE84" s="24">
        <v>118.90956678763669</v>
      </c>
      <c r="AF84" s="17"/>
      <c r="AG84" s="68">
        <f>HLOOKUP($J$3,$AB$3:$AE$243,82,FALSE)</f>
        <v>113.19756678763667</v>
      </c>
    </row>
    <row r="85" spans="1:33" ht="15.75" customHeight="1">
      <c r="A85" s="22" t="s">
        <v>15</v>
      </c>
      <c r="B85" s="23">
        <v>73.89554166666649</v>
      </c>
      <c r="C85" s="24"/>
      <c r="E85" s="24">
        <v>256.4456520097974</v>
      </c>
      <c r="F85" s="24">
        <v>270.942848812575</v>
      </c>
      <c r="G85" s="24">
        <v>267.134848812575</v>
      </c>
      <c r="H85" s="24">
        <v>261.99445200979744</v>
      </c>
      <c r="I85" s="17"/>
      <c r="J85" s="68">
        <f>HLOOKUP($J$3,$E$3:$H$243,83,FALSE)</f>
        <v>256.4456520097974</v>
      </c>
      <c r="X85" s="22" t="s">
        <v>15</v>
      </c>
      <c r="Y85" s="23">
        <v>73.89554166666649</v>
      </c>
      <c r="Z85" s="24"/>
      <c r="AB85" s="24">
        <v>105.76087957390016</v>
      </c>
      <c r="AC85" s="24">
        <v>120.25807637667774</v>
      </c>
      <c r="AD85" s="24">
        <v>116.45007637667774</v>
      </c>
      <c r="AE85" s="24">
        <v>111.30967957390018</v>
      </c>
      <c r="AF85" s="17"/>
      <c r="AG85" s="68">
        <f>HLOOKUP($J$3,$AB$3:$AE$243,83,FALSE)</f>
        <v>105.76087957390016</v>
      </c>
    </row>
    <row r="86" spans="1:33" ht="15.75" customHeight="1">
      <c r="A86" s="22" t="s">
        <v>16</v>
      </c>
      <c r="B86" s="23">
        <v>84.69874493410276</v>
      </c>
      <c r="C86" s="24"/>
      <c r="E86" s="24">
        <v>397.4654433854551</v>
      </c>
      <c r="F86" s="24">
        <v>408.2174433854551</v>
      </c>
      <c r="G86" s="24">
        <v>406.3134433854551</v>
      </c>
      <c r="H86" s="24">
        <v>403.1774433854551</v>
      </c>
      <c r="I86" s="17"/>
      <c r="J86" s="68">
        <f>HLOOKUP($J$3,$E$3:$H$243,84,FALSE)</f>
        <v>397.4654433854551</v>
      </c>
      <c r="X86" s="22" t="s">
        <v>16</v>
      </c>
      <c r="Y86" s="23">
        <v>84.69874493410276</v>
      </c>
      <c r="Z86" s="24"/>
      <c r="AB86" s="24">
        <v>262.7374676821216</v>
      </c>
      <c r="AC86" s="24">
        <v>273.4894676821216</v>
      </c>
      <c r="AD86" s="24">
        <v>271.5854676821216</v>
      </c>
      <c r="AE86" s="24">
        <v>268.44946768212156</v>
      </c>
      <c r="AF86" s="17"/>
      <c r="AG86" s="68">
        <f>HLOOKUP($J$3,$AB$3:$AE$243,84,FALSE)</f>
        <v>262.7374676821216</v>
      </c>
    </row>
    <row r="87" spans="1:33" ht="15.75" customHeight="1">
      <c r="A87" s="22" t="s">
        <v>17</v>
      </c>
      <c r="B87" s="23">
        <v>84.69874493410276</v>
      </c>
      <c r="C87" s="24"/>
      <c r="E87" s="24">
        <v>502.9659529744962</v>
      </c>
      <c r="F87" s="24">
        <v>524.4699529744961</v>
      </c>
      <c r="G87" s="24">
        <v>520.6619529744961</v>
      </c>
      <c r="H87" s="24">
        <v>514.3899529744962</v>
      </c>
      <c r="I87" s="17"/>
      <c r="J87" s="68">
        <f>HLOOKUP($J$3,$E$3:$H$243,85,FALSE)</f>
        <v>502.9659529744962</v>
      </c>
      <c r="X87" s="22" t="s">
        <v>17</v>
      </c>
      <c r="Y87" s="23">
        <v>84.69874493410276</v>
      </c>
      <c r="Z87" s="24"/>
      <c r="AB87" s="24">
        <v>208.3579772711626</v>
      </c>
      <c r="AC87" s="24">
        <v>229.86197727116252</v>
      </c>
      <c r="AD87" s="24">
        <v>226.05397727116252</v>
      </c>
      <c r="AE87" s="24">
        <v>219.7819772711626</v>
      </c>
      <c r="AF87" s="17"/>
      <c r="AG87" s="68">
        <f>HLOOKUP($J$3,$AB$3:$AE$243,85,FALSE)</f>
        <v>208.3579772711626</v>
      </c>
    </row>
    <row r="88" spans="1:33" ht="15.75" customHeight="1">
      <c r="A88" s="22" t="s">
        <v>18</v>
      </c>
      <c r="B88" s="23">
        <v>98.21647328478267</v>
      </c>
      <c r="C88" s="24"/>
      <c r="E88" s="24">
        <v>410.98544338545514</v>
      </c>
      <c r="F88" s="24">
        <v>421.73744338545515</v>
      </c>
      <c r="G88" s="24">
        <v>419.83344338545515</v>
      </c>
      <c r="H88" s="24">
        <v>416.69744338545513</v>
      </c>
      <c r="I88" s="17"/>
      <c r="J88" s="68">
        <f>HLOOKUP($J$3,$E$3:$H$243,86,FALSE)</f>
        <v>410.98544338545514</v>
      </c>
      <c r="X88" s="22" t="s">
        <v>18</v>
      </c>
      <c r="Y88" s="23">
        <v>98.21647328478267</v>
      </c>
      <c r="Z88" s="24"/>
      <c r="AB88" s="24">
        <v>262.7397393314417</v>
      </c>
      <c r="AC88" s="24">
        <v>273.49173933144175</v>
      </c>
      <c r="AD88" s="24">
        <v>271.58773933144175</v>
      </c>
      <c r="AE88" s="24">
        <v>268.4517393314417</v>
      </c>
      <c r="AF88" s="17"/>
      <c r="AG88" s="68">
        <f>HLOOKUP($J$3,$AB$3:$AE$243,86,FALSE)</f>
        <v>262.7397393314417</v>
      </c>
    </row>
    <row r="89" spans="1:33" ht="15.75" customHeight="1">
      <c r="A89" s="22" t="s">
        <v>19</v>
      </c>
      <c r="B89" s="23">
        <v>98.21647328478267</v>
      </c>
      <c r="C89" s="24"/>
      <c r="E89" s="24">
        <v>516.4859529744962</v>
      </c>
      <c r="F89" s="24">
        <v>537.9899529744962</v>
      </c>
      <c r="G89" s="24">
        <v>534.1819529744962</v>
      </c>
      <c r="H89" s="24">
        <v>527.9099529744962</v>
      </c>
      <c r="I89" s="17"/>
      <c r="J89" s="68">
        <f>HLOOKUP($J$3,$E$3:$H$243,87,FALSE)</f>
        <v>516.4859529744962</v>
      </c>
      <c r="X89" s="22" t="s">
        <v>19</v>
      </c>
      <c r="Y89" s="23">
        <v>98.21647328478267</v>
      </c>
      <c r="Z89" s="24"/>
      <c r="AB89" s="24">
        <v>208.36024892048272</v>
      </c>
      <c r="AC89" s="24">
        <v>229.86424892048274</v>
      </c>
      <c r="AD89" s="24">
        <v>226.05624892048274</v>
      </c>
      <c r="AE89" s="24">
        <v>219.7842489204827</v>
      </c>
      <c r="AF89" s="17"/>
      <c r="AG89" s="68">
        <f>HLOOKUP($J$3,$AB$3:$AE$243,87,FALSE)</f>
        <v>208.36024892048272</v>
      </c>
    </row>
    <row r="90" spans="1:33" ht="15.75" customHeight="1">
      <c r="A90" s="22" t="s">
        <v>20</v>
      </c>
      <c r="B90" s="23">
        <v>98.21647328478267</v>
      </c>
      <c r="C90" s="24"/>
      <c r="E90" s="24">
        <v>475.94807558948014</v>
      </c>
      <c r="F90" s="24">
        <v>486.70007558948015</v>
      </c>
      <c r="G90" s="24">
        <v>484.79607558948015</v>
      </c>
      <c r="H90" s="24">
        <v>481.66007558948013</v>
      </c>
      <c r="I90" s="17"/>
      <c r="J90" s="68">
        <f>HLOOKUP($J$3,$E$3:$H$243,88,FALSE)</f>
        <v>475.94807558948014</v>
      </c>
      <c r="X90" s="22" t="s">
        <v>20</v>
      </c>
      <c r="Y90" s="23">
        <v>98.21647328478267</v>
      </c>
      <c r="Z90" s="24"/>
      <c r="AB90" s="24">
        <v>327.7023715354667</v>
      </c>
      <c r="AC90" s="24">
        <v>338.45437153546675</v>
      </c>
      <c r="AD90" s="24">
        <v>336.55037153546675</v>
      </c>
      <c r="AE90" s="24">
        <v>333.41437153546667</v>
      </c>
      <c r="AF90" s="17"/>
      <c r="AG90" s="68">
        <f>HLOOKUP($J$3,$AB$3:$AE$243,88,FALSE)</f>
        <v>327.7023715354667</v>
      </c>
    </row>
    <row r="91" spans="1:33" ht="15.75" customHeight="1">
      <c r="A91" s="22" t="s">
        <v>21</v>
      </c>
      <c r="B91" s="23">
        <v>98.21647328478267</v>
      </c>
      <c r="C91" s="24"/>
      <c r="E91" s="24">
        <v>628.0405851785213</v>
      </c>
      <c r="F91" s="24">
        <v>649.5445851785212</v>
      </c>
      <c r="G91" s="24">
        <v>645.7365851785212</v>
      </c>
      <c r="H91" s="24">
        <v>639.4645851785212</v>
      </c>
      <c r="I91" s="17"/>
      <c r="J91" s="68">
        <f>HLOOKUP($J$3,$E$3:$H$243,89,FALSE)</f>
        <v>628.0405851785213</v>
      </c>
      <c r="X91" s="22" t="s">
        <v>21</v>
      </c>
      <c r="Y91" s="23">
        <v>98.21647328478267</v>
      </c>
      <c r="Z91" s="24"/>
      <c r="AB91" s="24">
        <v>253.3548811245078</v>
      </c>
      <c r="AC91" s="24">
        <v>274.8588811245077</v>
      </c>
      <c r="AD91" s="24">
        <v>271.0508811245077</v>
      </c>
      <c r="AE91" s="24">
        <v>264.7788811245078</v>
      </c>
      <c r="AF91" s="17"/>
      <c r="AG91" s="68">
        <f>HLOOKUP($J$3,$AB$3:$AE$243,89,FALSE)</f>
        <v>253.3548811245078</v>
      </c>
    </row>
    <row r="92" spans="1:33" ht="15.75" customHeight="1">
      <c r="A92" s="22" t="s">
        <v>22</v>
      </c>
      <c r="B92" s="23">
        <v>98.21647328478267</v>
      </c>
      <c r="C92" s="24"/>
      <c r="E92" s="24">
        <v>537.6607077935051</v>
      </c>
      <c r="F92" s="24">
        <v>548.4127077935052</v>
      </c>
      <c r="G92" s="24">
        <v>546.5087077935052</v>
      </c>
      <c r="H92" s="24">
        <v>543.3727077935051</v>
      </c>
      <c r="I92" s="17"/>
      <c r="J92" s="68">
        <f>HLOOKUP($J$3,$E$3:$H$243,90,FALSE)</f>
        <v>537.6607077935051</v>
      </c>
      <c r="X92" s="22" t="s">
        <v>22</v>
      </c>
      <c r="Y92" s="23">
        <v>98.21647328478267</v>
      </c>
      <c r="Z92" s="24"/>
      <c r="AB92" s="24">
        <v>389.4150037394917</v>
      </c>
      <c r="AC92" s="24">
        <v>400.16700373949175</v>
      </c>
      <c r="AD92" s="24">
        <v>398.26300373949175</v>
      </c>
      <c r="AE92" s="24">
        <v>395.12700373949167</v>
      </c>
      <c r="AF92" s="17"/>
      <c r="AG92" s="68">
        <f>HLOOKUP($J$3,$AB$3:$AE$243,90,FALSE)</f>
        <v>389.4150037394917</v>
      </c>
    </row>
    <row r="93" spans="1:33" ht="15.75" customHeight="1">
      <c r="A93" s="22" t="s">
        <v>23</v>
      </c>
      <c r="B93" s="23">
        <v>98.21647328478267</v>
      </c>
      <c r="C93" s="24"/>
      <c r="E93" s="24">
        <v>736.3452173825461</v>
      </c>
      <c r="F93" s="24">
        <v>757.8492173825462</v>
      </c>
      <c r="G93" s="24">
        <v>754.0412173825462</v>
      </c>
      <c r="H93" s="24">
        <v>747.7692173825462</v>
      </c>
      <c r="I93" s="17"/>
      <c r="J93" s="68">
        <f>HLOOKUP($J$3,$E$3:$H$243,91,FALSE)</f>
        <v>736.3452173825461</v>
      </c>
      <c r="X93" s="22" t="s">
        <v>23</v>
      </c>
      <c r="Y93" s="23">
        <v>98.21647328478267</v>
      </c>
      <c r="Z93" s="24"/>
      <c r="AB93" s="24">
        <v>295.09951332853274</v>
      </c>
      <c r="AC93" s="24">
        <v>316.60351332853276</v>
      </c>
      <c r="AD93" s="24">
        <v>312.79551332853276</v>
      </c>
      <c r="AE93" s="24">
        <v>306.52351332853283</v>
      </c>
      <c r="AF93" s="17"/>
      <c r="AG93" s="68">
        <f>HLOOKUP($J$3,$AB$3:$AE$243,91,FALSE)</f>
        <v>295.09951332853274</v>
      </c>
    </row>
    <row r="94" spans="1:33" ht="15.75" customHeight="1">
      <c r="A94" s="18" t="s">
        <v>25</v>
      </c>
      <c r="B94" s="13" t="s">
        <v>8</v>
      </c>
      <c r="C94" s="14" t="s">
        <v>29</v>
      </c>
      <c r="E94" s="14" t="s">
        <v>5</v>
      </c>
      <c r="F94" s="14" t="s">
        <v>5</v>
      </c>
      <c r="G94" s="14" t="s">
        <v>5</v>
      </c>
      <c r="H94" s="14" t="s">
        <v>5</v>
      </c>
      <c r="I94" s="61"/>
      <c r="J94" s="68" t="str">
        <f>HLOOKUP($J$3,$E$3:$H$243,92,FALSE)</f>
        <v>Part-time - 16 hours</v>
      </c>
      <c r="X94" s="18" t="s">
        <v>25</v>
      </c>
      <c r="Y94" s="13" t="s">
        <v>8</v>
      </c>
      <c r="Z94" s="14" t="s">
        <v>29</v>
      </c>
      <c r="AB94" s="14" t="s">
        <v>5</v>
      </c>
      <c r="AC94" s="14" t="s">
        <v>5</v>
      </c>
      <c r="AD94" s="14" t="s">
        <v>5</v>
      </c>
      <c r="AE94" s="14" t="s">
        <v>5</v>
      </c>
      <c r="AF94" s="61"/>
      <c r="AG94" s="68" t="str">
        <f>HLOOKUP($J$3,$AB$3:$AE$243,92,FALSE)</f>
        <v>Part-time - 16 hours</v>
      </c>
    </row>
    <row r="95" spans="1:33" ht="15.75" customHeight="1">
      <c r="A95" s="27" t="s">
        <v>10</v>
      </c>
      <c r="B95" s="23">
        <v>127.2225586275902</v>
      </c>
      <c r="C95" s="24">
        <v>213.27433383528847</v>
      </c>
      <c r="E95" s="24">
        <v>242.015745801299</v>
      </c>
      <c r="F95" s="24">
        <v>247.23814580129897</v>
      </c>
      <c r="G95" s="24">
        <v>246.31334580129896</v>
      </c>
      <c r="H95" s="24">
        <v>244.790145801299</v>
      </c>
      <c r="I95" s="17"/>
      <c r="J95" s="68">
        <f>HLOOKUP($J$3,$E$3:$H$243,93,FALSE)</f>
        <v>242.015745801299</v>
      </c>
      <c r="X95" s="27" t="s">
        <v>10</v>
      </c>
      <c r="Y95" s="23">
        <v>127.2225586275902</v>
      </c>
      <c r="Z95" s="24">
        <v>213.27433383528847</v>
      </c>
      <c r="AB95" s="24">
        <v>75.05241794293957</v>
      </c>
      <c r="AC95" s="24">
        <v>80.27481794293953</v>
      </c>
      <c r="AD95" s="24">
        <v>79.35001794293953</v>
      </c>
      <c r="AE95" s="24">
        <v>77.82681794293956</v>
      </c>
      <c r="AF95" s="17"/>
      <c r="AG95" s="68">
        <f>HLOOKUP($J$3,$AB$3:$AE$243,93,FALSE)</f>
        <v>75.05241794293957</v>
      </c>
    </row>
    <row r="96" spans="1:33" ht="15.75" customHeight="1">
      <c r="A96" s="27" t="s">
        <v>11</v>
      </c>
      <c r="B96" s="23">
        <v>146.7261021760684</v>
      </c>
      <c r="C96" s="25">
        <v>372.57743799720964</v>
      </c>
      <c r="E96" s="24">
        <v>490.77296140999664</v>
      </c>
      <c r="F96" s="24">
        <v>499.4813995356712</v>
      </c>
      <c r="G96" s="24">
        <v>497.5773995356712</v>
      </c>
      <c r="H96" s="24">
        <v>494.44139953567117</v>
      </c>
      <c r="I96" s="17"/>
      <c r="J96" s="68">
        <f>HLOOKUP($J$3,$E$3:$H$243,94,FALSE)</f>
        <v>490.77296140999664</v>
      </c>
      <c r="X96" s="27" t="s">
        <v>11</v>
      </c>
      <c r="Y96" s="23">
        <v>146.7261021760684</v>
      </c>
      <c r="Z96" s="25">
        <v>372.57743799720964</v>
      </c>
      <c r="AB96" s="24">
        <v>198.06609000315905</v>
      </c>
      <c r="AC96" s="24">
        <v>206.7745281288336</v>
      </c>
      <c r="AD96" s="24">
        <v>204.8705281288336</v>
      </c>
      <c r="AE96" s="24">
        <v>201.73452812883357</v>
      </c>
      <c r="AF96" s="17"/>
      <c r="AG96" s="68">
        <f>HLOOKUP($J$3,$AB$3:$AE$243,94,FALSE)</f>
        <v>198.06609000315905</v>
      </c>
    </row>
    <row r="97" spans="1:33" ht="15.75" customHeight="1">
      <c r="A97" s="27" t="s">
        <v>12</v>
      </c>
      <c r="B97" s="23">
        <v>127.2225586275902</v>
      </c>
      <c r="C97" s="24">
        <v>250.5168872741135</v>
      </c>
      <c r="E97" s="24"/>
      <c r="F97" s="24"/>
      <c r="G97" s="24"/>
      <c r="H97" s="24"/>
      <c r="I97" s="17"/>
      <c r="J97" s="68">
        <f>HLOOKUP($J$3,$E$3:$H$243,95,FALSE)</f>
        <v>0</v>
      </c>
      <c r="X97" s="27" t="s">
        <v>12</v>
      </c>
      <c r="Y97" s="23">
        <v>127.2225586275902</v>
      </c>
      <c r="Z97" s="24">
        <v>250.5168872741135</v>
      </c>
      <c r="AB97" s="24"/>
      <c r="AC97" s="24"/>
      <c r="AD97" s="24"/>
      <c r="AE97" s="24"/>
      <c r="AF97" s="17"/>
      <c r="AG97" s="68">
        <f>HLOOKUP($J$3,$AB$3:$AE$243,95,FALSE)</f>
        <v>0</v>
      </c>
    </row>
    <row r="98" spans="1:33" ht="15.75" customHeight="1">
      <c r="A98" s="27" t="s">
        <v>13</v>
      </c>
      <c r="B98" s="23">
        <v>146.7261021760684</v>
      </c>
      <c r="C98" s="24">
        <v>409.8199914360347</v>
      </c>
      <c r="E98" s="24"/>
      <c r="F98" s="24"/>
      <c r="G98" s="24"/>
      <c r="H98" s="24"/>
      <c r="I98" s="17"/>
      <c r="J98" s="68">
        <f>HLOOKUP($J$3,$E$3:$H$243,96,FALSE)</f>
        <v>0</v>
      </c>
      <c r="X98" s="27" t="s">
        <v>13</v>
      </c>
      <c r="Y98" s="23">
        <v>146.7261021760684</v>
      </c>
      <c r="Z98" s="24">
        <v>409.8199914360347</v>
      </c>
      <c r="AB98" s="24"/>
      <c r="AC98" s="24"/>
      <c r="AD98" s="24"/>
      <c r="AE98" s="24"/>
      <c r="AF98" s="17"/>
      <c r="AG98" s="68">
        <f>HLOOKUP($J$3,$AB$3:$AE$243,96,FALSE)</f>
        <v>0</v>
      </c>
    </row>
    <row r="99" spans="1:33" ht="15.75" customHeight="1">
      <c r="A99" s="27" t="s">
        <v>14</v>
      </c>
      <c r="B99" s="23">
        <v>127.2225586275902</v>
      </c>
      <c r="C99" s="24"/>
      <c r="E99" s="24">
        <v>290.168246072849</v>
      </c>
      <c r="F99" s="24">
        <v>298.5843588591125</v>
      </c>
      <c r="G99" s="24">
        <v>297.6595588591125</v>
      </c>
      <c r="H99" s="24">
        <v>295.880246072849</v>
      </c>
      <c r="I99" s="17"/>
      <c r="J99" s="68">
        <f>HLOOKUP($J$3,$E$3:$H$243,97,FALSE)</f>
        <v>290.168246072849</v>
      </c>
      <c r="X99" s="27" t="s">
        <v>14</v>
      </c>
      <c r="Y99" s="23">
        <v>127.2225586275902</v>
      </c>
      <c r="Z99" s="24"/>
      <c r="AB99" s="24">
        <v>123.20491821448957</v>
      </c>
      <c r="AC99" s="24">
        <v>131.62103100075308</v>
      </c>
      <c r="AD99" s="24">
        <v>130.69623100075307</v>
      </c>
      <c r="AE99" s="24">
        <v>128.91691821448956</v>
      </c>
      <c r="AF99" s="17"/>
      <c r="AG99" s="68">
        <f>HLOOKUP($J$3,$AB$3:$AE$243,97,FALSE)</f>
        <v>123.20491821448957</v>
      </c>
    </row>
    <row r="100" spans="1:33" ht="15.75" customHeight="1">
      <c r="A100" s="27" t="s">
        <v>15</v>
      </c>
      <c r="B100" s="23">
        <v>127.2225586275902</v>
      </c>
      <c r="C100" s="24"/>
      <c r="E100" s="24">
        <v>309.4915588591125</v>
      </c>
      <c r="F100" s="24">
        <v>324.26284881257504</v>
      </c>
      <c r="G100" s="24">
        <v>320.45484881257505</v>
      </c>
      <c r="H100" s="24">
        <v>315.04035885911253</v>
      </c>
      <c r="I100" s="17"/>
      <c r="J100" s="68">
        <f>HLOOKUP($J$3,$E$3:$H$243,98,FALSE)</f>
        <v>309.4915588591125</v>
      </c>
      <c r="X100" s="27" t="s">
        <v>15</v>
      </c>
      <c r="Y100" s="23">
        <v>127.2225586275902</v>
      </c>
      <c r="Z100" s="24"/>
      <c r="AB100" s="24">
        <v>125.76823100075308</v>
      </c>
      <c r="AC100" s="24">
        <v>140.53952095421562</v>
      </c>
      <c r="AD100" s="24">
        <v>136.73152095421563</v>
      </c>
      <c r="AE100" s="24">
        <v>131.3170310007531</v>
      </c>
      <c r="AF100" s="17"/>
      <c r="AG100" s="68">
        <f>HLOOKUP($J$3,$AB$3:$AE$243,98,FALSE)</f>
        <v>125.76823100075308</v>
      </c>
    </row>
    <row r="101" spans="1:33" ht="15.75" customHeight="1">
      <c r="A101" s="27" t="s">
        <v>16</v>
      </c>
      <c r="B101" s="23">
        <v>146.7261021760684</v>
      </c>
      <c r="C101" s="24"/>
      <c r="E101" s="24">
        <v>459.22135023477017</v>
      </c>
      <c r="F101" s="24">
        <v>469.97335023477024</v>
      </c>
      <c r="G101" s="24">
        <v>468.06935023477024</v>
      </c>
      <c r="H101" s="24">
        <v>464.93335023477016</v>
      </c>
      <c r="I101" s="17"/>
      <c r="J101" s="68">
        <f>HLOOKUP($J$3,$E$3:$H$243,99,FALSE)</f>
        <v>459.22135023477017</v>
      </c>
      <c r="X101" s="27" t="s">
        <v>16</v>
      </c>
      <c r="Y101" s="23">
        <v>146.7261021760684</v>
      </c>
      <c r="Z101" s="24"/>
      <c r="AB101" s="24">
        <v>272.75447882793253</v>
      </c>
      <c r="AC101" s="24">
        <v>283.5064788279326</v>
      </c>
      <c r="AD101" s="24">
        <v>281.6024788279326</v>
      </c>
      <c r="AE101" s="24">
        <v>278.4664788279325</v>
      </c>
      <c r="AF101" s="17"/>
      <c r="AG101" s="68">
        <f>HLOOKUP($J$3,$AB$3:$AE$243,99,FALSE)</f>
        <v>272.75447882793253</v>
      </c>
    </row>
    <row r="102" spans="1:33" ht="15.75" customHeight="1">
      <c r="A102" s="27" t="s">
        <v>17</v>
      </c>
      <c r="B102" s="23">
        <v>146.7261021760684</v>
      </c>
      <c r="C102" s="24"/>
      <c r="E102" s="24">
        <v>546.1799529744962</v>
      </c>
      <c r="F102" s="24">
        <v>567.6839529744962</v>
      </c>
      <c r="G102" s="24">
        <v>563.8759529744962</v>
      </c>
      <c r="H102" s="24">
        <v>557.6039529744962</v>
      </c>
      <c r="I102" s="17"/>
      <c r="J102" s="68">
        <f>HLOOKUP($J$3,$E$3:$H$243,100,FALSE)</f>
        <v>546.1799529744962</v>
      </c>
      <c r="X102" s="27" t="s">
        <v>17</v>
      </c>
      <c r="Y102" s="23">
        <v>146.7261021760684</v>
      </c>
      <c r="Z102" s="24"/>
      <c r="AB102" s="24">
        <v>236.71308156765866</v>
      </c>
      <c r="AC102" s="24">
        <v>258.21708156765857</v>
      </c>
      <c r="AD102" s="24">
        <v>254.40908156765857</v>
      </c>
      <c r="AE102" s="24">
        <v>248.13708156765864</v>
      </c>
      <c r="AF102" s="17"/>
      <c r="AG102" s="68">
        <f>HLOOKUP($J$3,$AB$3:$AE$243,100,FALSE)</f>
        <v>236.71308156765866</v>
      </c>
    </row>
    <row r="103" spans="1:33" ht="15.75" customHeight="1">
      <c r="A103" s="27" t="s">
        <v>18</v>
      </c>
      <c r="B103" s="23">
        <v>164.5548639965686</v>
      </c>
      <c r="C103" s="24"/>
      <c r="E103" s="24">
        <v>477.04135023477016</v>
      </c>
      <c r="F103" s="24">
        <v>487.7933502347702</v>
      </c>
      <c r="G103" s="24">
        <v>485.8893502347702</v>
      </c>
      <c r="H103" s="24">
        <v>482.7533502347702</v>
      </c>
      <c r="I103" s="17"/>
      <c r="J103" s="68">
        <f>HLOOKUP($J$3,$E$3:$H$243,101,FALSE)</f>
        <v>477.04135023477016</v>
      </c>
      <c r="X103" s="27" t="s">
        <v>18</v>
      </c>
      <c r="Y103" s="23">
        <v>164.5548639965686</v>
      </c>
      <c r="Z103" s="24"/>
      <c r="AB103" s="24">
        <v>272.74571700743235</v>
      </c>
      <c r="AC103" s="24">
        <v>283.49771700743236</v>
      </c>
      <c r="AD103" s="24">
        <v>281.59371700743236</v>
      </c>
      <c r="AE103" s="24">
        <v>278.4577170074324</v>
      </c>
      <c r="AF103" s="17"/>
      <c r="AG103" s="68">
        <f>HLOOKUP($J$3,$AB$3:$AE$243,101,FALSE)</f>
        <v>272.74571700743235</v>
      </c>
    </row>
    <row r="104" spans="1:33" ht="15.75" customHeight="1">
      <c r="A104" s="27" t="s">
        <v>19</v>
      </c>
      <c r="B104" s="23">
        <v>164.5548639965686</v>
      </c>
      <c r="C104" s="24"/>
      <c r="E104" s="24">
        <v>563.9999529744962</v>
      </c>
      <c r="F104" s="24">
        <v>585.5039529744962</v>
      </c>
      <c r="G104" s="24">
        <v>581.6959529744962</v>
      </c>
      <c r="H104" s="24">
        <v>575.4239529744962</v>
      </c>
      <c r="I104" s="17"/>
      <c r="J104" s="68">
        <f>HLOOKUP($J$3,$E$3:$H$243,102,FALSE)</f>
        <v>563.9999529744962</v>
      </c>
      <c r="X104" s="27" t="s">
        <v>19</v>
      </c>
      <c r="Y104" s="23">
        <v>164.5548639965686</v>
      </c>
      <c r="Z104" s="24"/>
      <c r="AB104" s="24">
        <v>236.70431974715837</v>
      </c>
      <c r="AC104" s="24">
        <v>258.2083197471584</v>
      </c>
      <c r="AD104" s="24">
        <v>254.4003197471584</v>
      </c>
      <c r="AE104" s="24">
        <v>248.12831974715834</v>
      </c>
      <c r="AF104" s="17"/>
      <c r="AG104" s="68">
        <f>HLOOKUP($J$3,$AB$3:$AE$243,102,FALSE)</f>
        <v>236.70431974715837</v>
      </c>
    </row>
    <row r="105" spans="1:33" ht="15.75" customHeight="1">
      <c r="A105" s="27" t="s">
        <v>20</v>
      </c>
      <c r="B105" s="23">
        <v>164.5548639965686</v>
      </c>
      <c r="C105" s="24"/>
      <c r="E105" s="24">
        <v>542.0039824387952</v>
      </c>
      <c r="F105" s="24">
        <v>552.7559824387952</v>
      </c>
      <c r="G105" s="24">
        <v>550.8519824387952</v>
      </c>
      <c r="H105" s="24">
        <v>547.7159824387952</v>
      </c>
      <c r="I105" s="17"/>
      <c r="J105" s="68">
        <f>HLOOKUP($J$3,$E$3:$H$243,103,FALSE)</f>
        <v>542.0039824387952</v>
      </c>
      <c r="X105" s="27" t="s">
        <v>20</v>
      </c>
      <c r="Y105" s="23">
        <v>164.5548639965686</v>
      </c>
      <c r="Z105" s="24"/>
      <c r="AB105" s="24">
        <v>337.7083492114574</v>
      </c>
      <c r="AC105" s="24">
        <v>348.46034921145736</v>
      </c>
      <c r="AD105" s="24">
        <v>346.55634921145736</v>
      </c>
      <c r="AE105" s="24">
        <v>343.4203492114574</v>
      </c>
      <c r="AF105" s="17"/>
      <c r="AG105" s="68">
        <f>HLOOKUP($J$3,$AB$3:$AE$243,103,FALSE)</f>
        <v>337.7083492114574</v>
      </c>
    </row>
    <row r="106" spans="1:33" ht="15.75" customHeight="1">
      <c r="A106" s="27" t="s">
        <v>21</v>
      </c>
      <c r="B106" s="23">
        <v>164.5548639965686</v>
      </c>
      <c r="C106" s="24"/>
      <c r="E106" s="24">
        <v>666.1465851785211</v>
      </c>
      <c r="F106" s="24">
        <v>687.6505851785212</v>
      </c>
      <c r="G106" s="24">
        <v>683.8425851785212</v>
      </c>
      <c r="H106" s="24">
        <v>677.5705851785212</v>
      </c>
      <c r="I106" s="17"/>
      <c r="J106" s="68">
        <f>HLOOKUP($J$3,$E$3:$H$243,104,FALSE)</f>
        <v>666.1465851785211</v>
      </c>
      <c r="X106" s="27" t="s">
        <v>21</v>
      </c>
      <c r="Y106" s="23">
        <v>164.5548639965686</v>
      </c>
      <c r="Z106" s="24"/>
      <c r="AB106" s="24">
        <v>285.73095195118333</v>
      </c>
      <c r="AC106" s="24">
        <v>307.23495195118335</v>
      </c>
      <c r="AD106" s="24">
        <v>303.42695195118336</v>
      </c>
      <c r="AE106" s="24">
        <v>297.1549519511834</v>
      </c>
      <c r="AF106" s="17"/>
      <c r="AG106" s="68">
        <f>HLOOKUP($J$3,$AB$3:$AE$243,104,FALSE)</f>
        <v>285.73095195118333</v>
      </c>
    </row>
    <row r="107" spans="1:33" ht="15.75" customHeight="1">
      <c r="A107" s="27" t="s">
        <v>22</v>
      </c>
      <c r="B107" s="23">
        <v>164.5548639965686</v>
      </c>
      <c r="C107" s="24"/>
      <c r="E107" s="24">
        <v>594.8800000000001</v>
      </c>
      <c r="F107" s="24">
        <v>614.4686146428203</v>
      </c>
      <c r="G107" s="24">
        <v>612.5646146428203</v>
      </c>
      <c r="H107" s="24">
        <v>609.4286146428202</v>
      </c>
      <c r="I107" s="17"/>
      <c r="J107" s="68">
        <f>HLOOKUP($J$3,$E$3:$H$243,105,FALSE)</f>
        <v>594.8800000000001</v>
      </c>
      <c r="X107" s="27" t="s">
        <v>22</v>
      </c>
      <c r="Y107" s="23">
        <v>164.5548639965686</v>
      </c>
      <c r="Z107" s="24"/>
      <c r="AB107" s="24">
        <v>390.5843667726623</v>
      </c>
      <c r="AC107" s="24">
        <v>410.17298141548247</v>
      </c>
      <c r="AD107" s="24">
        <v>408.2689814154825</v>
      </c>
      <c r="AE107" s="24">
        <v>405.1329814154824</v>
      </c>
      <c r="AF107" s="17"/>
      <c r="AG107" s="68">
        <f>HLOOKUP($J$3,$AB$3:$AE$243,105,FALSE)</f>
        <v>390.5843667726623</v>
      </c>
    </row>
    <row r="108" spans="1:33" ht="15.75" customHeight="1">
      <c r="A108" s="27" t="s">
        <v>23</v>
      </c>
      <c r="B108" s="23">
        <v>164.5548639965686</v>
      </c>
      <c r="C108" s="24"/>
      <c r="E108" s="24">
        <v>765.0432173825461</v>
      </c>
      <c r="F108" s="24">
        <v>786.5472173825463</v>
      </c>
      <c r="G108" s="24">
        <v>782.7392173825463</v>
      </c>
      <c r="H108" s="24">
        <v>776.4672173825461</v>
      </c>
      <c r="I108" s="17"/>
      <c r="J108" s="68">
        <f>HLOOKUP($J$3,$E$3:$H$243,106,FALSE)</f>
        <v>765.0432173825461</v>
      </c>
      <c r="X108" s="27" t="s">
        <v>23</v>
      </c>
      <c r="Y108" s="23">
        <v>164.5548639965686</v>
      </c>
      <c r="Z108" s="24"/>
      <c r="AB108" s="24">
        <v>331.5075841552083</v>
      </c>
      <c r="AC108" s="24">
        <v>353.0115841552084</v>
      </c>
      <c r="AD108" s="24">
        <v>349.20358415520843</v>
      </c>
      <c r="AE108" s="24">
        <v>342.93158415520827</v>
      </c>
      <c r="AF108" s="17"/>
      <c r="AG108" s="68">
        <f>HLOOKUP($J$3,$AB$3:$AE$243,106,FALSE)</f>
        <v>331.5075841552083</v>
      </c>
    </row>
    <row r="109" spans="1:33" ht="15.75" customHeight="1">
      <c r="A109" s="18" t="s">
        <v>26</v>
      </c>
      <c r="B109" s="13" t="s">
        <v>8</v>
      </c>
      <c r="C109" s="14" t="s">
        <v>29</v>
      </c>
      <c r="E109" s="14" t="s">
        <v>5</v>
      </c>
      <c r="F109" s="14" t="s">
        <v>5</v>
      </c>
      <c r="G109" s="14" t="s">
        <v>5</v>
      </c>
      <c r="H109" s="14" t="s">
        <v>5</v>
      </c>
      <c r="I109" s="61"/>
      <c r="J109" s="68" t="str">
        <f>HLOOKUP($J$3,$E$3:$H$243,107,FALSE)</f>
        <v>Part-time - 16 hours</v>
      </c>
      <c r="X109" s="18" t="s">
        <v>26</v>
      </c>
      <c r="Y109" s="13" t="s">
        <v>8</v>
      </c>
      <c r="Z109" s="14" t="s">
        <v>29</v>
      </c>
      <c r="AB109" s="14" t="s">
        <v>5</v>
      </c>
      <c r="AC109" s="14" t="s">
        <v>5</v>
      </c>
      <c r="AD109" s="14" t="s">
        <v>5</v>
      </c>
      <c r="AE109" s="14" t="s">
        <v>5</v>
      </c>
      <c r="AF109" s="61"/>
      <c r="AG109" s="68" t="str">
        <f>HLOOKUP($J$3,$AB$3:$AE$243,107,FALSE)</f>
        <v>Part-time - 16 hours</v>
      </c>
    </row>
    <row r="110" spans="1:33" ht="15.75" customHeight="1">
      <c r="A110" s="22" t="s">
        <v>10</v>
      </c>
      <c r="B110" s="23">
        <v>59.1539719860898</v>
      </c>
      <c r="C110" s="24">
        <v>145.20433383528848</v>
      </c>
      <c r="E110" s="24">
        <v>173.94574580129898</v>
      </c>
      <c r="F110" s="24">
        <v>179.16814580129898</v>
      </c>
      <c r="G110" s="24">
        <v>178.24334580129897</v>
      </c>
      <c r="H110" s="24">
        <v>176.720145801299</v>
      </c>
      <c r="I110" s="17"/>
      <c r="J110" s="68">
        <f>HLOOKUP($J$3,$E$3:$H$243,108,FALSE)</f>
        <v>173.94574580129898</v>
      </c>
      <c r="X110" s="22" t="s">
        <v>10</v>
      </c>
      <c r="Y110" s="23">
        <v>59.1539719860898</v>
      </c>
      <c r="Z110" s="24">
        <v>145.20433383528848</v>
      </c>
      <c r="AB110" s="24">
        <v>75.05100458443995</v>
      </c>
      <c r="AC110" s="24">
        <v>80.27340458443994</v>
      </c>
      <c r="AD110" s="24">
        <v>79.34860458443994</v>
      </c>
      <c r="AE110" s="24">
        <v>77.82540458443997</v>
      </c>
      <c r="AF110" s="17"/>
      <c r="AG110" s="68">
        <f>HLOOKUP($J$3,$AB$3:$AE$243,108,FALSE)</f>
        <v>75.05100458443995</v>
      </c>
    </row>
    <row r="111" spans="1:33" ht="15.75" customHeight="1">
      <c r="A111" s="22" t="s">
        <v>11</v>
      </c>
      <c r="B111" s="23">
        <v>68.22242714955922</v>
      </c>
      <c r="C111" s="24">
        <v>294.06743799720965</v>
      </c>
      <c r="E111" s="24">
        <v>412.74846140999665</v>
      </c>
      <c r="F111" s="24">
        <v>421.4568995356712</v>
      </c>
      <c r="G111" s="24">
        <v>419.5528995356712</v>
      </c>
      <c r="H111" s="24">
        <v>416.4168995356712</v>
      </c>
      <c r="I111" s="17"/>
      <c r="J111" s="68">
        <f>HLOOKUP($J$3,$E$3:$H$243,109,FALSE)</f>
        <v>412.74846140999665</v>
      </c>
      <c r="X111" s="22" t="s">
        <v>11</v>
      </c>
      <c r="Y111" s="23">
        <v>68.22242714955922</v>
      </c>
      <c r="Z111" s="24">
        <v>294.06743799720965</v>
      </c>
      <c r="AB111" s="24">
        <v>198.5452650296682</v>
      </c>
      <c r="AC111" s="24">
        <v>207.25370315534275</v>
      </c>
      <c r="AD111" s="24">
        <v>205.34970315534275</v>
      </c>
      <c r="AE111" s="24">
        <v>202.21370315534273</v>
      </c>
      <c r="AF111" s="17"/>
      <c r="AG111" s="68">
        <f>HLOOKUP($J$3,$AB$3:$AE$243,109,FALSE)</f>
        <v>198.5452650296682</v>
      </c>
    </row>
    <row r="112" spans="1:33" ht="15.75" customHeight="1">
      <c r="A112" s="22" t="s">
        <v>12</v>
      </c>
      <c r="B112" s="23">
        <v>59.1539719860898</v>
      </c>
      <c r="C112" s="24">
        <v>182.4468872741135</v>
      </c>
      <c r="E112" s="24"/>
      <c r="F112" s="24"/>
      <c r="G112" s="24"/>
      <c r="H112" s="24"/>
      <c r="I112" s="17"/>
      <c r="J112" s="68">
        <f>HLOOKUP($J$3,$E$3:$H$243,110,FALSE)</f>
        <v>0</v>
      </c>
      <c r="X112" s="22" t="s">
        <v>12</v>
      </c>
      <c r="Y112" s="23">
        <v>59.1539719860898</v>
      </c>
      <c r="Z112" s="24">
        <v>182.4468872741135</v>
      </c>
      <c r="AB112" s="24"/>
      <c r="AC112" s="24"/>
      <c r="AD112" s="24"/>
      <c r="AE112" s="24"/>
      <c r="AF112" s="17"/>
      <c r="AG112" s="68">
        <f>HLOOKUP($J$3,$AB$3:$AE$243,110,FALSE)</f>
        <v>0</v>
      </c>
    </row>
    <row r="113" spans="1:33" ht="15.75" customHeight="1">
      <c r="A113" s="22" t="s">
        <v>13</v>
      </c>
      <c r="B113" s="23">
        <v>68.22242714955922</v>
      </c>
      <c r="C113" s="24">
        <v>331.3099914360347</v>
      </c>
      <c r="E113" s="24"/>
      <c r="F113" s="24"/>
      <c r="G113" s="24"/>
      <c r="H113" s="24"/>
      <c r="I113" s="17"/>
      <c r="J113" s="68">
        <f>HLOOKUP($J$3,$E$3:$H$243,111,FALSE)</f>
        <v>0</v>
      </c>
      <c r="X113" s="22" t="s">
        <v>13</v>
      </c>
      <c r="Y113" s="23">
        <v>68.22242714955922</v>
      </c>
      <c r="Z113" s="24">
        <v>331.3099914360347</v>
      </c>
      <c r="AB113" s="24"/>
      <c r="AC113" s="24"/>
      <c r="AD113" s="24"/>
      <c r="AE113" s="24"/>
      <c r="AF113" s="17"/>
      <c r="AG113" s="68">
        <f>HLOOKUP($J$3,$AB$3:$AE$243,111,FALSE)</f>
        <v>0</v>
      </c>
    </row>
    <row r="114" spans="1:33" ht="15.75" customHeight="1">
      <c r="A114" s="22" t="s">
        <v>14</v>
      </c>
      <c r="B114" s="23">
        <v>59.1539719860898</v>
      </c>
      <c r="C114" s="24"/>
      <c r="E114" s="24">
        <v>222.098246072849</v>
      </c>
      <c r="F114" s="24">
        <v>230.51435885911252</v>
      </c>
      <c r="G114" s="24">
        <v>229.58955885911251</v>
      </c>
      <c r="H114" s="24">
        <v>227.810246072849</v>
      </c>
      <c r="I114" s="17"/>
      <c r="J114" s="68">
        <f>HLOOKUP($J$3,$E$3:$H$243,112,FALSE)</f>
        <v>222.098246072849</v>
      </c>
      <c r="X114" s="22" t="s">
        <v>14</v>
      </c>
      <c r="Y114" s="23">
        <v>59.1539719860898</v>
      </c>
      <c r="Z114" s="24"/>
      <c r="AB114" s="24">
        <v>123.20350485598998</v>
      </c>
      <c r="AC114" s="24">
        <v>131.6196176422535</v>
      </c>
      <c r="AD114" s="24">
        <v>130.6948176422535</v>
      </c>
      <c r="AE114" s="24">
        <v>128.91550485598998</v>
      </c>
      <c r="AF114" s="17"/>
      <c r="AG114" s="68">
        <f>HLOOKUP($J$3,$AB$3:$AE$243,112,FALSE)</f>
        <v>123.20350485598998</v>
      </c>
    </row>
    <row r="115" spans="1:33" ht="15.75" customHeight="1">
      <c r="A115" s="22" t="s">
        <v>15</v>
      </c>
      <c r="B115" s="23">
        <v>59.1539719860898</v>
      </c>
      <c r="C115" s="24"/>
      <c r="E115" s="24">
        <v>241.4215588591125</v>
      </c>
      <c r="F115" s="24">
        <v>256.192848812575</v>
      </c>
      <c r="G115" s="24">
        <v>252.38484881257503</v>
      </c>
      <c r="H115" s="24">
        <v>246.9703588591125</v>
      </c>
      <c r="I115" s="17"/>
      <c r="J115" s="68">
        <f>HLOOKUP($J$3,$E$3:$H$243,113,FALSE)</f>
        <v>241.4215588591125</v>
      </c>
      <c r="X115" s="22" t="s">
        <v>15</v>
      </c>
      <c r="Y115" s="23">
        <v>59.1539719860898</v>
      </c>
      <c r="Z115" s="24"/>
      <c r="AB115" s="24">
        <v>125.76681764225347</v>
      </c>
      <c r="AC115" s="24">
        <v>140.53810759571596</v>
      </c>
      <c r="AD115" s="24">
        <v>136.730107595716</v>
      </c>
      <c r="AE115" s="24">
        <v>131.31561764225347</v>
      </c>
      <c r="AF115" s="17"/>
      <c r="AG115" s="68">
        <f>HLOOKUP($J$3,$AB$3:$AE$243,113,FALSE)</f>
        <v>125.76681764225347</v>
      </c>
    </row>
    <row r="116" spans="1:33" ht="15.75" customHeight="1">
      <c r="A116" s="22" t="s">
        <v>16</v>
      </c>
      <c r="B116" s="23">
        <v>68.22242714955922</v>
      </c>
      <c r="C116" s="24"/>
      <c r="E116" s="24">
        <v>380.7113502347702</v>
      </c>
      <c r="F116" s="24">
        <v>391.46335023477025</v>
      </c>
      <c r="G116" s="24">
        <v>389.55935023477025</v>
      </c>
      <c r="H116" s="24">
        <v>386.42335023477017</v>
      </c>
      <c r="I116" s="17"/>
      <c r="J116" s="68">
        <f>HLOOKUP($J$3,$E$3:$H$243,114,FALSE)</f>
        <v>380.7113502347702</v>
      </c>
      <c r="X116" s="22" t="s">
        <v>16</v>
      </c>
      <c r="Y116" s="23">
        <v>68.22242714955922</v>
      </c>
      <c r="Z116" s="24"/>
      <c r="AB116" s="24">
        <v>272.74815385444174</v>
      </c>
      <c r="AC116" s="24">
        <v>283.5001538544418</v>
      </c>
      <c r="AD116" s="24">
        <v>281.5961538544418</v>
      </c>
      <c r="AE116" s="24">
        <v>278.4601538544417</v>
      </c>
      <c r="AF116" s="17"/>
      <c r="AG116" s="68">
        <f>HLOOKUP($J$3,$AB$3:$AE$243,114,FALSE)</f>
        <v>272.74815385444174</v>
      </c>
    </row>
    <row r="117" spans="1:33" ht="15.75" customHeight="1">
      <c r="A117" s="22" t="s">
        <v>17</v>
      </c>
      <c r="B117" s="23">
        <v>68.22242714955922</v>
      </c>
      <c r="C117" s="24"/>
      <c r="E117" s="24">
        <v>467.66995297449625</v>
      </c>
      <c r="F117" s="24">
        <v>489.17395297449616</v>
      </c>
      <c r="G117" s="24">
        <v>485.36595297449617</v>
      </c>
      <c r="H117" s="24">
        <v>479.09395297449623</v>
      </c>
      <c r="I117" s="17"/>
      <c r="J117" s="68">
        <f>HLOOKUP($J$3,$E$3:$H$243,115,FALSE)</f>
        <v>467.66995297449625</v>
      </c>
      <c r="X117" s="22" t="s">
        <v>17</v>
      </c>
      <c r="Y117" s="23">
        <v>68.22242714955922</v>
      </c>
      <c r="Z117" s="24"/>
      <c r="AB117" s="24">
        <v>236.7067565941678</v>
      </c>
      <c r="AC117" s="24">
        <v>258.2107565941677</v>
      </c>
      <c r="AD117" s="24">
        <v>254.40275659416773</v>
      </c>
      <c r="AE117" s="24">
        <v>248.1307565941678</v>
      </c>
      <c r="AF117" s="17"/>
      <c r="AG117" s="68">
        <f>HLOOKUP($J$3,$AB$3:$AE$243,115,FALSE)</f>
        <v>236.7067565941678</v>
      </c>
    </row>
    <row r="118" spans="1:33" ht="15.75" customHeight="1">
      <c r="A118" s="22" t="s">
        <v>18</v>
      </c>
      <c r="B118" s="23">
        <v>76.51216828236977</v>
      </c>
      <c r="C118" s="24"/>
      <c r="E118" s="24">
        <v>389.00135023477014</v>
      </c>
      <c r="F118" s="24">
        <v>399.7533502347702</v>
      </c>
      <c r="G118" s="24">
        <v>397.8493502347702</v>
      </c>
      <c r="H118" s="24">
        <v>394.71335023477013</v>
      </c>
      <c r="I118" s="17"/>
      <c r="J118" s="68">
        <f>HLOOKUP($J$3,$E$3:$H$243,116,FALSE)</f>
        <v>389.00135023477014</v>
      </c>
      <c r="X118" s="22" t="s">
        <v>18</v>
      </c>
      <c r="Y118" s="23">
        <v>76.51216828236977</v>
      </c>
      <c r="Z118" s="24"/>
      <c r="AB118" s="24">
        <v>272.74841272163115</v>
      </c>
      <c r="AC118" s="24">
        <v>283.5004127216312</v>
      </c>
      <c r="AD118" s="24">
        <v>281.5964127216312</v>
      </c>
      <c r="AE118" s="24">
        <v>278.46041272163114</v>
      </c>
      <c r="AF118" s="17"/>
      <c r="AG118" s="68">
        <f>HLOOKUP($J$3,$AB$3:$AE$243,116,FALSE)</f>
        <v>272.74841272163115</v>
      </c>
    </row>
    <row r="119" spans="1:33" ht="15.75" customHeight="1">
      <c r="A119" s="22" t="s">
        <v>19</v>
      </c>
      <c r="B119" s="23">
        <v>76.51216828236977</v>
      </c>
      <c r="C119" s="24"/>
      <c r="E119" s="24">
        <v>475.9599529744962</v>
      </c>
      <c r="F119" s="24">
        <v>497.4639529744961</v>
      </c>
      <c r="G119" s="24">
        <v>493.65595297449613</v>
      </c>
      <c r="H119" s="24">
        <v>487.3839529744962</v>
      </c>
      <c r="I119" s="17"/>
      <c r="J119" s="68">
        <f>HLOOKUP($J$3,$E$3:$H$243,117,FALSE)</f>
        <v>475.9599529744962</v>
      </c>
      <c r="X119" s="22" t="s">
        <v>19</v>
      </c>
      <c r="Y119" s="23">
        <v>76.51216828236977</v>
      </c>
      <c r="Z119" s="24"/>
      <c r="AB119" s="24">
        <v>236.70701546135723</v>
      </c>
      <c r="AC119" s="24">
        <v>258.21101546135714</v>
      </c>
      <c r="AD119" s="24">
        <v>254.40301546135714</v>
      </c>
      <c r="AE119" s="24">
        <v>248.1310154613572</v>
      </c>
      <c r="AF119" s="17"/>
      <c r="AG119" s="68">
        <f>HLOOKUP($J$3,$AB$3:$AE$243,117,FALSE)</f>
        <v>236.70701546135723</v>
      </c>
    </row>
    <row r="120" spans="1:33" ht="15.75" customHeight="1">
      <c r="A120" s="22" t="s">
        <v>20</v>
      </c>
      <c r="B120" s="23">
        <v>76.51216828236977</v>
      </c>
      <c r="C120" s="24"/>
      <c r="E120" s="24">
        <v>453.96398243879514</v>
      </c>
      <c r="F120" s="24">
        <v>464.7159824387952</v>
      </c>
      <c r="G120" s="24">
        <v>462.8119824387952</v>
      </c>
      <c r="H120" s="24">
        <v>459.6759824387952</v>
      </c>
      <c r="I120" s="17"/>
      <c r="J120" s="68">
        <f>HLOOKUP($J$3,$E$3:$H$243,118,FALSE)</f>
        <v>453.96398243879514</v>
      </c>
      <c r="X120" s="22" t="s">
        <v>20</v>
      </c>
      <c r="Y120" s="23">
        <v>76.51216828236977</v>
      </c>
      <c r="Z120" s="24"/>
      <c r="AB120" s="24">
        <v>337.71104492565615</v>
      </c>
      <c r="AC120" s="24">
        <v>348.4630449256562</v>
      </c>
      <c r="AD120" s="24">
        <v>346.5590449256562</v>
      </c>
      <c r="AE120" s="24">
        <v>343.4230449256562</v>
      </c>
      <c r="AF120" s="17"/>
      <c r="AG120" s="68">
        <f>HLOOKUP($J$3,$AB$3:$AE$243,118,FALSE)</f>
        <v>337.71104492565615</v>
      </c>
    </row>
    <row r="121" spans="1:33" ht="15.75" customHeight="1">
      <c r="A121" s="22" t="s">
        <v>21</v>
      </c>
      <c r="B121" s="23">
        <v>76.51216828236977</v>
      </c>
      <c r="C121" s="24"/>
      <c r="E121" s="24">
        <v>578.1065851785212</v>
      </c>
      <c r="F121" s="24">
        <v>599.6105851785212</v>
      </c>
      <c r="G121" s="24">
        <v>595.8025851785212</v>
      </c>
      <c r="H121" s="24">
        <v>589.5305851785213</v>
      </c>
      <c r="I121" s="17"/>
      <c r="J121" s="68">
        <f>HLOOKUP($J$3,$E$3:$H$243,119,FALSE)</f>
        <v>578.1065851785212</v>
      </c>
      <c r="X121" s="22" t="s">
        <v>21</v>
      </c>
      <c r="Y121" s="23">
        <v>76.51216828236977</v>
      </c>
      <c r="Z121" s="24"/>
      <c r="AB121" s="24">
        <v>285.7336476653822</v>
      </c>
      <c r="AC121" s="24">
        <v>307.2376476653822</v>
      </c>
      <c r="AD121" s="24">
        <v>303.4296476653822</v>
      </c>
      <c r="AE121" s="24">
        <v>297.1576476653823</v>
      </c>
      <c r="AF121" s="17"/>
      <c r="AG121" s="68">
        <f>HLOOKUP($J$3,$AB$3:$AE$243,119,FALSE)</f>
        <v>285.7336476653822</v>
      </c>
    </row>
    <row r="122" spans="1:33" ht="15.75" customHeight="1">
      <c r="A122" s="22" t="s">
        <v>22</v>
      </c>
      <c r="B122" s="23">
        <v>76.51216828236977</v>
      </c>
      <c r="C122" s="24"/>
      <c r="E122" s="24">
        <v>515.6766146428201</v>
      </c>
      <c r="F122" s="24">
        <v>526.4286146428202</v>
      </c>
      <c r="G122" s="24">
        <v>524.5246146428202</v>
      </c>
      <c r="H122" s="24">
        <v>521.3886146428201</v>
      </c>
      <c r="I122" s="17"/>
      <c r="J122" s="68">
        <f>HLOOKUP($J$3,$E$3:$H$243,120,FALSE)</f>
        <v>515.6766146428201</v>
      </c>
      <c r="X122" s="22" t="s">
        <v>22</v>
      </c>
      <c r="Y122" s="23">
        <v>76.51216828236977</v>
      </c>
      <c r="Z122" s="24"/>
      <c r="AB122" s="24">
        <v>399.42367712968115</v>
      </c>
      <c r="AC122" s="24">
        <v>410.1756771296812</v>
      </c>
      <c r="AD122" s="24">
        <v>408.2716771296812</v>
      </c>
      <c r="AE122" s="24">
        <v>405.13567712968114</v>
      </c>
      <c r="AF122" s="17"/>
      <c r="AG122" s="68">
        <f>HLOOKUP($J$3,$AB$3:$AE$243,120,FALSE)</f>
        <v>399.42367712968115</v>
      </c>
    </row>
    <row r="123" spans="1:33" ht="15.75" customHeight="1">
      <c r="A123" s="38" t="s">
        <v>23</v>
      </c>
      <c r="B123" s="39">
        <v>76.51216828236977</v>
      </c>
      <c r="C123" s="40"/>
      <c r="E123" s="40">
        <v>677.0032173825462</v>
      </c>
      <c r="F123" s="40">
        <v>698.5072173825463</v>
      </c>
      <c r="G123" s="40">
        <v>694.6992173825463</v>
      </c>
      <c r="H123" s="40">
        <v>688.4272173825461</v>
      </c>
      <c r="I123" s="17"/>
      <c r="J123" s="68">
        <f>HLOOKUP($J$3,$E$3:$H$243,121,FALSE)</f>
        <v>677.0032173825462</v>
      </c>
      <c r="X123" s="38" t="s">
        <v>23</v>
      </c>
      <c r="Y123" s="39">
        <v>76.51216828236977</v>
      </c>
      <c r="Z123" s="40"/>
      <c r="AB123" s="40">
        <v>331.51027986940716</v>
      </c>
      <c r="AC123" s="40">
        <v>353.0142798694073</v>
      </c>
      <c r="AD123" s="40">
        <v>349.2062798694073</v>
      </c>
      <c r="AE123" s="40">
        <v>342.93427986940713</v>
      </c>
      <c r="AF123" s="17"/>
      <c r="AG123" s="68">
        <f>HLOOKUP($J$3,$AB$3:$AE$243,121,FALSE)</f>
        <v>331.51027986940716</v>
      </c>
    </row>
    <row r="124" spans="1:33" ht="15.75" customHeight="1">
      <c r="A124" s="18" t="s">
        <v>9</v>
      </c>
      <c r="B124" s="13" t="s">
        <v>8</v>
      </c>
      <c r="C124" s="14" t="s">
        <v>29</v>
      </c>
      <c r="E124" s="14" t="s">
        <v>6</v>
      </c>
      <c r="F124" s="14" t="s">
        <v>6</v>
      </c>
      <c r="G124" s="14" t="s">
        <v>6</v>
      </c>
      <c r="H124" s="14" t="s">
        <v>6</v>
      </c>
      <c r="I124" s="61"/>
      <c r="J124" s="68" t="str">
        <f>HLOOKUP($J$3,$E$3:$H$243,122,FALSE)</f>
        <v>Part-time - 24 hours</v>
      </c>
      <c r="X124" s="18" t="s">
        <v>9</v>
      </c>
      <c r="Y124" s="13" t="s">
        <v>8</v>
      </c>
      <c r="Z124" s="14" t="s">
        <v>29</v>
      </c>
      <c r="AB124" s="14" t="s">
        <v>6</v>
      </c>
      <c r="AC124" s="14" t="s">
        <v>6</v>
      </c>
      <c r="AD124" s="14" t="s">
        <v>6</v>
      </c>
      <c r="AE124" s="14" t="s">
        <v>6</v>
      </c>
      <c r="AF124" s="61"/>
      <c r="AG124" s="68" t="str">
        <f>HLOOKUP($J$3,$AB$3:$AE$243,122,FALSE)</f>
        <v>Part-time - 24 hours</v>
      </c>
    </row>
    <row r="125" spans="1:33" ht="15.75" customHeight="1">
      <c r="A125" s="22" t="s">
        <v>10</v>
      </c>
      <c r="B125" s="23">
        <v>200.05625406835097</v>
      </c>
      <c r="C125" s="24">
        <v>286.3891799891346</v>
      </c>
      <c r="E125" s="24">
        <v>323.126910951984</v>
      </c>
      <c r="F125" s="24">
        <v>328.5023789519839</v>
      </c>
      <c r="G125" s="24">
        <v>327.5590829519839</v>
      </c>
      <c r="H125" s="24">
        <v>326.0054189519839</v>
      </c>
      <c r="I125" s="17"/>
      <c r="J125" s="68">
        <f>HLOOKUP($J$3,$E$3:$H$243,123,FALSE)</f>
        <v>323.126910951984</v>
      </c>
      <c r="X125" s="22" t="s">
        <v>10</v>
      </c>
      <c r="Y125" s="23">
        <v>200.05625406835097</v>
      </c>
      <c r="Z125" s="24">
        <v>286.3891799891346</v>
      </c>
      <c r="AB125" s="24">
        <v>73.04142611440224</v>
      </c>
      <c r="AC125" s="24">
        <v>78.4168941144022</v>
      </c>
      <c r="AD125" s="24">
        <v>77.47359811440217</v>
      </c>
      <c r="AE125" s="24">
        <v>75.9199341144022</v>
      </c>
      <c r="AF125" s="17"/>
      <c r="AG125" s="68">
        <f>HLOOKUP($J$3,$AB$3:$AE$243,123,FALSE)</f>
        <v>73.04142611440224</v>
      </c>
    </row>
    <row r="126" spans="1:33" ht="15.75" customHeight="1">
      <c r="A126" s="22" t="s">
        <v>11</v>
      </c>
      <c r="B126" s="23">
        <v>229.30359875081356</v>
      </c>
      <c r="C126" s="24">
        <v>455.4222841510558</v>
      </c>
      <c r="E126" s="24">
        <v>653.1719595356712</v>
      </c>
      <c r="F126" s="24">
        <v>664.2390995356712</v>
      </c>
      <c r="G126" s="24">
        <v>662.2970195356712</v>
      </c>
      <c r="H126" s="24">
        <v>659.0982995356712</v>
      </c>
      <c r="I126" s="17"/>
      <c r="J126" s="68">
        <f>HLOOKUP($J$3,$E$3:$H$243,124,FALSE)</f>
        <v>653.1719595356712</v>
      </c>
      <c r="X126" s="22" t="s">
        <v>11</v>
      </c>
      <c r="Y126" s="23">
        <v>229.30359875081356</v>
      </c>
      <c r="Z126" s="24">
        <v>455.4222841510558</v>
      </c>
      <c r="AB126" s="24">
        <v>174.15913001562689</v>
      </c>
      <c r="AC126" s="24">
        <v>185.22627001562688</v>
      </c>
      <c r="AD126" s="24">
        <v>183.28419001562685</v>
      </c>
      <c r="AE126" s="24">
        <v>180.08547001562687</v>
      </c>
      <c r="AF126" s="17"/>
      <c r="AG126" s="68">
        <f>HLOOKUP($J$3,$AB$3:$AE$243,124,FALSE)</f>
        <v>174.15913001562689</v>
      </c>
    </row>
    <row r="127" spans="1:33" ht="15.75" customHeight="1">
      <c r="A127" s="22" t="s">
        <v>12</v>
      </c>
      <c r="B127" s="23">
        <v>200.05625406835097</v>
      </c>
      <c r="C127" s="24">
        <v>323.6317334279596</v>
      </c>
      <c r="E127" s="24"/>
      <c r="F127" s="24"/>
      <c r="G127" s="24"/>
      <c r="H127" s="24"/>
      <c r="I127" s="17"/>
      <c r="J127" s="68">
        <f>HLOOKUP($J$3,$E$3:$H$243,125,FALSE)</f>
        <v>0</v>
      </c>
      <c r="X127" s="22" t="s">
        <v>12</v>
      </c>
      <c r="Y127" s="23">
        <v>200.05625406835097</v>
      </c>
      <c r="Z127" s="24">
        <v>323.6317334279596</v>
      </c>
      <c r="AB127" s="24"/>
      <c r="AC127" s="24"/>
      <c r="AD127" s="24"/>
      <c r="AE127" s="24"/>
      <c r="AF127" s="17"/>
      <c r="AG127" s="68">
        <f>HLOOKUP($J$3,$AB$3:$AE$243,125,FALSE)</f>
        <v>0</v>
      </c>
    </row>
    <row r="128" spans="1:33" ht="15.75" customHeight="1">
      <c r="A128" s="22" t="s">
        <v>13</v>
      </c>
      <c r="B128" s="23">
        <v>229.30359875081356</v>
      </c>
      <c r="C128" s="24">
        <v>492.66483758988085</v>
      </c>
      <c r="E128" s="24"/>
      <c r="F128" s="24"/>
      <c r="G128" s="24"/>
      <c r="H128" s="24"/>
      <c r="I128" s="17"/>
      <c r="J128" s="68">
        <f>HLOOKUP($J$3,$E$3:$H$243,126,FALSE)</f>
        <v>0</v>
      </c>
      <c r="X128" s="22" t="s">
        <v>13</v>
      </c>
      <c r="Y128" s="23">
        <v>229.30359875081356</v>
      </c>
      <c r="Z128" s="24">
        <v>492.66483758988085</v>
      </c>
      <c r="AB128" s="24"/>
      <c r="AC128" s="24"/>
      <c r="AD128" s="24"/>
      <c r="AE128" s="24"/>
      <c r="AF128" s="17"/>
      <c r="AG128" s="68">
        <f>HLOOKUP($J$3,$AB$3:$AE$243,126,FALSE)</f>
        <v>0</v>
      </c>
    </row>
    <row r="129" spans="1:33" ht="15.75" customHeight="1">
      <c r="A129" s="22" t="s">
        <v>14</v>
      </c>
      <c r="B129" s="23">
        <v>200.05625406835097</v>
      </c>
      <c r="C129" s="24"/>
      <c r="E129" s="24">
        <v>374.4731240097974</v>
      </c>
      <c r="F129" s="24">
        <v>379.84859200979736</v>
      </c>
      <c r="G129" s="24">
        <v>378.90529600979744</v>
      </c>
      <c r="H129" s="24">
        <v>377.3516320097974</v>
      </c>
      <c r="I129" s="17"/>
      <c r="J129" s="68">
        <f>HLOOKUP($J$3,$E$3:$H$243,127,FALSE)</f>
        <v>374.4731240097974</v>
      </c>
      <c r="X129" s="22" t="s">
        <v>14</v>
      </c>
      <c r="Y129" s="23">
        <v>200.05625406835097</v>
      </c>
      <c r="Z129" s="24"/>
      <c r="AB129" s="24">
        <v>124.38763917221567</v>
      </c>
      <c r="AC129" s="24">
        <v>129.76310717221563</v>
      </c>
      <c r="AD129" s="24">
        <v>128.8198111722157</v>
      </c>
      <c r="AE129" s="24">
        <v>127.26614717221568</v>
      </c>
      <c r="AF129" s="17"/>
      <c r="AG129" s="68">
        <f>HLOOKUP($J$3,$AB$3:$AE$243,127,FALSE)</f>
        <v>124.38763917221567</v>
      </c>
    </row>
    <row r="130" spans="1:33" ht="15.75" customHeight="1">
      <c r="A130" s="22" t="s">
        <v>15</v>
      </c>
      <c r="B130" s="23">
        <v>200.05625406835097</v>
      </c>
      <c r="C130" s="24"/>
      <c r="E130" s="24">
        <v>408.52796881257495</v>
      </c>
      <c r="F130" s="24">
        <v>430.66224881257494</v>
      </c>
      <c r="G130" s="24">
        <v>426.778088812575</v>
      </c>
      <c r="H130" s="24">
        <v>420.380648812575</v>
      </c>
      <c r="I130" s="17"/>
      <c r="J130" s="68">
        <f>HLOOKUP($J$3,$E$3:$H$243,128,FALSE)</f>
        <v>408.52796881257495</v>
      </c>
      <c r="X130" s="22" t="s">
        <v>15</v>
      </c>
      <c r="Y130" s="23">
        <v>200.05625406835097</v>
      </c>
      <c r="Z130" s="24"/>
      <c r="AB130" s="24">
        <v>131.6824839749932</v>
      </c>
      <c r="AC130" s="24">
        <v>153.8167639749932</v>
      </c>
      <c r="AD130" s="24">
        <v>149.93260397499324</v>
      </c>
      <c r="AE130" s="24">
        <v>143.53516397499322</v>
      </c>
      <c r="AF130" s="17"/>
      <c r="AG130" s="68">
        <f>HLOOKUP($J$3,$AB$3:$AE$243,128,FALSE)</f>
        <v>131.6824839749932</v>
      </c>
    </row>
    <row r="131" spans="1:33" ht="15.75" customHeight="1">
      <c r="A131" s="22" t="s">
        <v>16</v>
      </c>
      <c r="B131" s="23">
        <v>229.30359875081356</v>
      </c>
      <c r="C131" s="24"/>
      <c r="E131" s="24">
        <v>550.2703340800336</v>
      </c>
      <c r="F131" s="24">
        <v>559.0465060800336</v>
      </c>
      <c r="G131" s="24">
        <v>557.5010020800336</v>
      </c>
      <c r="H131" s="24">
        <v>554.9554660800336</v>
      </c>
      <c r="I131" s="17"/>
      <c r="J131" s="68">
        <f>HLOOKUP($J$3,$E$3:$H$243,129,FALSE)</f>
        <v>550.2703340800336</v>
      </c>
      <c r="X131" s="22" t="s">
        <v>16</v>
      </c>
      <c r="Y131" s="23">
        <v>229.30359875081356</v>
      </c>
      <c r="Z131" s="24"/>
      <c r="AB131" s="24">
        <v>270.9375045599893</v>
      </c>
      <c r="AC131" s="24">
        <v>279.71367655998927</v>
      </c>
      <c r="AD131" s="24">
        <v>278.1681725599892</v>
      </c>
      <c r="AE131" s="24">
        <v>275.62263655998925</v>
      </c>
      <c r="AF131" s="17"/>
      <c r="AG131" s="68">
        <f>HLOOKUP($J$3,$AB$3:$AE$243,129,FALSE)</f>
        <v>270.9375045599893</v>
      </c>
    </row>
    <row r="132" spans="1:33" ht="15.75" customHeight="1">
      <c r="A132" s="22" t="s">
        <v>17</v>
      </c>
      <c r="B132" s="23">
        <v>229.30359875081356</v>
      </c>
      <c r="C132" s="24"/>
      <c r="E132" s="24">
        <v>727.0870729744962</v>
      </c>
      <c r="F132" s="24">
        <v>749.2213529744962</v>
      </c>
      <c r="G132" s="24">
        <v>745.3371929744962</v>
      </c>
      <c r="H132" s="24">
        <v>738.9397529744963</v>
      </c>
      <c r="I132" s="17"/>
      <c r="J132" s="68">
        <f>HLOOKUP($J$3,$E$3:$H$243,130,FALSE)</f>
        <v>727.0870729744962</v>
      </c>
      <c r="X132" s="22" t="s">
        <v>17</v>
      </c>
      <c r="Y132" s="23">
        <v>229.30359875081356</v>
      </c>
      <c r="Z132" s="24"/>
      <c r="AB132" s="24">
        <v>221.31424345445186</v>
      </c>
      <c r="AC132" s="24">
        <v>243.44852345445184</v>
      </c>
      <c r="AD132" s="24">
        <v>239.5643634544519</v>
      </c>
      <c r="AE132" s="24">
        <v>233.16692345445193</v>
      </c>
      <c r="AF132" s="17"/>
      <c r="AG132" s="68">
        <f>HLOOKUP($J$3,$AB$3:$AE$243,130,FALSE)</f>
        <v>221.31424345445186</v>
      </c>
    </row>
    <row r="133" spans="1:33" ht="15.75" customHeight="1">
      <c r="A133" s="22" t="s">
        <v>18</v>
      </c>
      <c r="B133" s="23">
        <v>265.8999350974548</v>
      </c>
      <c r="C133" s="24"/>
      <c r="E133" s="24">
        <v>586.8703340800336</v>
      </c>
      <c r="F133" s="24">
        <v>595.6465060800335</v>
      </c>
      <c r="G133" s="24">
        <v>594.1010020800336</v>
      </c>
      <c r="H133" s="24">
        <v>591.5554660800336</v>
      </c>
      <c r="I133" s="17"/>
      <c r="J133" s="68">
        <f>HLOOKUP($J$3,$E$3:$H$243,131,FALSE)</f>
        <v>586.8703340800336</v>
      </c>
      <c r="X133" s="22" t="s">
        <v>18</v>
      </c>
      <c r="Y133" s="23">
        <v>265.8999350974548</v>
      </c>
      <c r="Z133" s="24"/>
      <c r="AB133" s="24">
        <v>270.941168213348</v>
      </c>
      <c r="AC133" s="24">
        <v>279.717340213348</v>
      </c>
      <c r="AD133" s="24">
        <v>278.17183621334806</v>
      </c>
      <c r="AE133" s="24">
        <v>275.6263002133481</v>
      </c>
      <c r="AF133" s="17"/>
      <c r="AG133" s="68">
        <f>HLOOKUP($J$3,$AB$3:$AE$243,131,FALSE)</f>
        <v>270.941168213348</v>
      </c>
    </row>
    <row r="134" spans="1:33" ht="15.75" customHeight="1">
      <c r="A134" s="22" t="s">
        <v>19</v>
      </c>
      <c r="B134" s="23">
        <v>265.8999350974548</v>
      </c>
      <c r="C134" s="24"/>
      <c r="E134" s="24">
        <v>763.6870729744962</v>
      </c>
      <c r="F134" s="24">
        <v>785.8213529744962</v>
      </c>
      <c r="G134" s="24">
        <v>781.9371929744963</v>
      </c>
      <c r="H134" s="24">
        <v>775.5397529744962</v>
      </c>
      <c r="I134" s="17"/>
      <c r="J134" s="68">
        <f>HLOOKUP($J$3,$E$3:$H$243,132,FALSE)</f>
        <v>763.6870729744962</v>
      </c>
      <c r="X134" s="22" t="s">
        <v>19</v>
      </c>
      <c r="Y134" s="23">
        <v>265.8999350974548</v>
      </c>
      <c r="Z134" s="24"/>
      <c r="AB134" s="24">
        <v>221.3179071078107</v>
      </c>
      <c r="AC134" s="24">
        <v>243.4521871078107</v>
      </c>
      <c r="AD134" s="24">
        <v>239.56802710781074</v>
      </c>
      <c r="AE134" s="24">
        <v>233.17058710781066</v>
      </c>
      <c r="AF134" s="17"/>
      <c r="AG134" s="68">
        <f>HLOOKUP($J$3,$AB$3:$AE$243,132,FALSE)</f>
        <v>221.3179071078107</v>
      </c>
    </row>
    <row r="135" spans="1:33" ht="15.75" customHeight="1">
      <c r="A135" s="22" t="s">
        <v>20</v>
      </c>
      <c r="B135" s="23">
        <v>265.8999350974548</v>
      </c>
      <c r="C135" s="24"/>
      <c r="E135" s="24">
        <v>653.764736078035</v>
      </c>
      <c r="F135" s="24">
        <v>662.540908078035</v>
      </c>
      <c r="G135" s="24">
        <v>660.995404078035</v>
      </c>
      <c r="H135" s="24">
        <v>658.449868078035</v>
      </c>
      <c r="I135" s="17"/>
      <c r="J135" s="68">
        <f>HLOOKUP($J$3,$E$3:$H$243,133,FALSE)</f>
        <v>653.764736078035</v>
      </c>
      <c r="X135" s="22" t="s">
        <v>20</v>
      </c>
      <c r="Y135" s="23">
        <v>265.8999350974548</v>
      </c>
      <c r="Z135" s="24"/>
      <c r="AB135" s="24">
        <v>337.8355702113494</v>
      </c>
      <c r="AC135" s="24">
        <v>346.6117422113495</v>
      </c>
      <c r="AD135" s="24">
        <v>345.06623821134946</v>
      </c>
      <c r="AE135" s="24">
        <v>342.5207022113495</v>
      </c>
      <c r="AF135" s="17"/>
      <c r="AG135" s="68">
        <f>HLOOKUP($J$3,$AB$3:$AE$243,133,FALSE)</f>
        <v>337.8355702113494</v>
      </c>
    </row>
    <row r="136" spans="1:33" ht="15.75" customHeight="1">
      <c r="A136" s="22" t="s">
        <v>21</v>
      </c>
      <c r="B136" s="23">
        <v>265.8999350974548</v>
      </c>
      <c r="C136" s="24"/>
      <c r="E136" s="24">
        <v>892.2790685635212</v>
      </c>
      <c r="F136" s="24">
        <v>914.4133485635211</v>
      </c>
      <c r="G136" s="24">
        <v>910.5291885635212</v>
      </c>
      <c r="H136" s="24">
        <v>904.1317485635212</v>
      </c>
      <c r="I136" s="17"/>
      <c r="J136" s="68">
        <f>HLOOKUP($J$3,$E$3:$H$243,134,FALSE)</f>
        <v>892.2790685635212</v>
      </c>
      <c r="X136" s="22" t="s">
        <v>21</v>
      </c>
      <c r="Y136" s="23">
        <v>265.8999350974548</v>
      </c>
      <c r="Z136" s="24"/>
      <c r="AB136" s="24">
        <v>250.0699026968357</v>
      </c>
      <c r="AC136" s="24">
        <v>272.2041826968357</v>
      </c>
      <c r="AD136" s="24">
        <v>268.32002269683574</v>
      </c>
      <c r="AE136" s="24">
        <v>261.9225826968358</v>
      </c>
      <c r="AF136" s="17"/>
      <c r="AG136" s="68">
        <f>HLOOKUP($J$3,$AB$3:$AE$243,134,FALSE)</f>
        <v>250.0699026968357</v>
      </c>
    </row>
    <row r="137" spans="1:33" ht="15.75" customHeight="1">
      <c r="A137" s="22" t="s">
        <v>22</v>
      </c>
      <c r="B137" s="23">
        <v>265.8999350974548</v>
      </c>
      <c r="C137" s="24"/>
      <c r="E137" s="24">
        <v>717.4091380760365</v>
      </c>
      <c r="F137" s="24">
        <v>726.1853100760363</v>
      </c>
      <c r="G137" s="24">
        <v>724.6398060760364</v>
      </c>
      <c r="H137" s="24">
        <v>722.0942700760364</v>
      </c>
      <c r="I137" s="17"/>
      <c r="J137" s="68">
        <f>HLOOKUP($J$3,$E$3:$H$243,135,FALSE)</f>
        <v>717.4091380760365</v>
      </c>
      <c r="X137" s="22" t="s">
        <v>22</v>
      </c>
      <c r="Y137" s="23">
        <v>265.8999350974548</v>
      </c>
      <c r="Z137" s="24"/>
      <c r="AB137" s="24">
        <v>401.47997220935093</v>
      </c>
      <c r="AC137" s="24">
        <v>410.2561442093508</v>
      </c>
      <c r="AD137" s="24">
        <v>408.71064020935086</v>
      </c>
      <c r="AE137" s="24">
        <v>406.1651042093509</v>
      </c>
      <c r="AF137" s="17"/>
      <c r="AG137" s="68">
        <f>HLOOKUP($J$3,$AB$3:$AE$243,135,FALSE)</f>
        <v>401.47997220935093</v>
      </c>
    </row>
    <row r="138" spans="1:33" ht="15.75" customHeight="1">
      <c r="A138" s="22" t="s">
        <v>23</v>
      </c>
      <c r="B138" s="23">
        <v>265.8999350974548</v>
      </c>
      <c r="C138" s="24"/>
      <c r="E138" s="24">
        <v>953.9917007675463</v>
      </c>
      <c r="F138" s="24">
        <v>976.1259807675461</v>
      </c>
      <c r="G138" s="24">
        <v>972.2418207675462</v>
      </c>
      <c r="H138" s="24">
        <v>965.8443807675461</v>
      </c>
      <c r="I138" s="17"/>
      <c r="J138" s="68">
        <f>HLOOKUP($J$3,$E$3:$H$243,136,FALSE)</f>
        <v>953.9917007675463</v>
      </c>
      <c r="X138" s="22" t="s">
        <v>23</v>
      </c>
      <c r="Y138" s="23">
        <v>265.8999350974548</v>
      </c>
      <c r="Z138" s="24"/>
      <c r="AB138" s="24">
        <v>211.94253490086078</v>
      </c>
      <c r="AC138" s="24">
        <v>234.07681490086065</v>
      </c>
      <c r="AD138" s="24">
        <v>230.1926549008607</v>
      </c>
      <c r="AE138" s="24">
        <v>223.79521490086063</v>
      </c>
      <c r="AF138" s="17"/>
      <c r="AG138" s="68">
        <f>HLOOKUP($J$3,$AB$3:$AE$243,136,FALSE)</f>
        <v>211.94253490086078</v>
      </c>
    </row>
    <row r="139" spans="1:33" ht="15.75" customHeight="1">
      <c r="A139" s="18" t="s">
        <v>24</v>
      </c>
      <c r="B139" s="13" t="s">
        <v>8</v>
      </c>
      <c r="C139" s="14" t="s">
        <v>29</v>
      </c>
      <c r="E139" s="14" t="s">
        <v>6</v>
      </c>
      <c r="F139" s="14" t="s">
        <v>6</v>
      </c>
      <c r="G139" s="14" t="s">
        <v>6</v>
      </c>
      <c r="H139" s="14" t="s">
        <v>6</v>
      </c>
      <c r="I139" s="61"/>
      <c r="J139" s="68" t="str">
        <f>HLOOKUP($J$3,$E$3:$H$243,137,FALSE)</f>
        <v>Part-time - 24 hours</v>
      </c>
      <c r="X139" s="18" t="s">
        <v>24</v>
      </c>
      <c r="Y139" s="13" t="s">
        <v>8</v>
      </c>
      <c r="Z139" s="14" t="s">
        <v>29</v>
      </c>
      <c r="AB139" s="14" t="s">
        <v>6</v>
      </c>
      <c r="AC139" s="14" t="s">
        <v>6</v>
      </c>
      <c r="AD139" s="14" t="s">
        <v>6</v>
      </c>
      <c r="AE139" s="14" t="s">
        <v>6</v>
      </c>
      <c r="AF139" s="61"/>
      <c r="AG139" s="68" t="str">
        <f>HLOOKUP($J$3,$AB$3:$AE$243,137,FALSE)</f>
        <v>Part-time - 24 hours</v>
      </c>
    </row>
    <row r="140" spans="1:33" ht="15.75" customHeight="1">
      <c r="A140" s="22" t="s">
        <v>10</v>
      </c>
      <c r="B140" s="23">
        <v>73.89554166666649</v>
      </c>
      <c r="C140" s="24">
        <v>160.22917998913465</v>
      </c>
      <c r="E140" s="24">
        <v>196.96691095198395</v>
      </c>
      <c r="F140" s="24">
        <v>202.3423789519839</v>
      </c>
      <c r="G140" s="24">
        <v>201.39908295198393</v>
      </c>
      <c r="H140" s="24">
        <v>199.84541895198393</v>
      </c>
      <c r="I140" s="17"/>
      <c r="J140" s="68">
        <f>HLOOKUP($J$3,$E$3:$H$243,138,FALSE)</f>
        <v>196.96691095198395</v>
      </c>
      <c r="X140" s="22" t="s">
        <v>10</v>
      </c>
      <c r="Y140" s="23">
        <v>73.89554166666649</v>
      </c>
      <c r="Z140" s="24">
        <v>160.22917998913465</v>
      </c>
      <c r="AB140" s="24">
        <v>73.04213851608668</v>
      </c>
      <c r="AC140" s="24">
        <v>78.41760651608664</v>
      </c>
      <c r="AD140" s="24">
        <v>77.47431051608666</v>
      </c>
      <c r="AE140" s="24">
        <v>75.92064651608666</v>
      </c>
      <c r="AF140" s="17"/>
      <c r="AG140" s="68">
        <f>HLOOKUP($J$3,$AB$3:$AE$243,138,FALSE)</f>
        <v>73.04213851608668</v>
      </c>
    </row>
    <row r="141" spans="1:33" ht="15.75" customHeight="1">
      <c r="A141" s="22" t="s">
        <v>11</v>
      </c>
      <c r="B141" s="23">
        <v>84.69874493410276</v>
      </c>
      <c r="C141" s="24">
        <v>310.82228415105584</v>
      </c>
      <c r="E141" s="24">
        <v>508.5719595356712</v>
      </c>
      <c r="F141" s="24">
        <v>519.6390995356712</v>
      </c>
      <c r="G141" s="24">
        <v>517.6970195356712</v>
      </c>
      <c r="H141" s="24">
        <v>514.4982995356712</v>
      </c>
      <c r="I141" s="17"/>
      <c r="J141" s="68">
        <f>HLOOKUP($J$3,$E$3:$H$243,139,FALSE)</f>
        <v>508.5719595356712</v>
      </c>
      <c r="X141" s="22" t="s">
        <v>11</v>
      </c>
      <c r="Y141" s="23">
        <v>84.69874493410276</v>
      </c>
      <c r="Z141" s="24">
        <v>310.82228415105584</v>
      </c>
      <c r="AB141" s="24">
        <v>174.1639838323377</v>
      </c>
      <c r="AC141" s="24">
        <v>185.2311238323377</v>
      </c>
      <c r="AD141" s="24">
        <v>183.28904383233765</v>
      </c>
      <c r="AE141" s="24">
        <v>180.09032383233767</v>
      </c>
      <c r="AF141" s="17"/>
      <c r="AG141" s="68">
        <f>HLOOKUP($J$3,$AB$3:$AE$243,139,FALSE)</f>
        <v>174.1639838323377</v>
      </c>
    </row>
    <row r="142" spans="1:33" ht="15.75" customHeight="1">
      <c r="A142" s="22" t="s">
        <v>12</v>
      </c>
      <c r="B142" s="23">
        <v>73.89554166666649</v>
      </c>
      <c r="C142" s="24">
        <v>197.47173342795966</v>
      </c>
      <c r="E142" s="24"/>
      <c r="F142" s="24"/>
      <c r="G142" s="24"/>
      <c r="H142" s="24"/>
      <c r="I142" s="17"/>
      <c r="J142" s="68">
        <f>HLOOKUP($J$3,$E$3:$H$243,140,FALSE)</f>
        <v>0</v>
      </c>
      <c r="X142" s="22" t="s">
        <v>12</v>
      </c>
      <c r="Y142" s="23">
        <v>73.89554166666649</v>
      </c>
      <c r="Z142" s="24">
        <v>197.47173342795966</v>
      </c>
      <c r="AB142" s="24"/>
      <c r="AC142" s="24"/>
      <c r="AD142" s="24"/>
      <c r="AE142" s="24"/>
      <c r="AF142" s="17"/>
      <c r="AG142" s="68">
        <f>HLOOKUP($J$3,$AB$3:$AE$243,140,FALSE)</f>
        <v>0</v>
      </c>
    </row>
    <row r="143" spans="1:33" ht="15.75" customHeight="1">
      <c r="A143" s="22" t="s">
        <v>13</v>
      </c>
      <c r="B143" s="23">
        <v>84.69874493410276</v>
      </c>
      <c r="C143" s="24">
        <v>348.0648375898808</v>
      </c>
      <c r="E143" s="24"/>
      <c r="F143" s="24"/>
      <c r="G143" s="24"/>
      <c r="H143" s="24"/>
      <c r="I143" s="17"/>
      <c r="J143" s="68">
        <f>HLOOKUP($J$3,$E$3:$H$243,141,FALSE)</f>
        <v>0</v>
      </c>
      <c r="X143" s="22" t="s">
        <v>13</v>
      </c>
      <c r="Y143" s="23">
        <v>84.69874493410276</v>
      </c>
      <c r="Z143" s="24">
        <v>348.0648375898808</v>
      </c>
      <c r="AB143" s="24"/>
      <c r="AC143" s="24"/>
      <c r="AD143" s="24"/>
      <c r="AE143" s="24"/>
      <c r="AF143" s="17"/>
      <c r="AG143" s="68">
        <f>HLOOKUP($J$3,$AB$3:$AE$243,141,FALSE)</f>
        <v>0</v>
      </c>
    </row>
    <row r="144" spans="1:33" ht="15.75" customHeight="1">
      <c r="A144" s="22" t="s">
        <v>14</v>
      </c>
      <c r="B144" s="23">
        <v>73.89554166666649</v>
      </c>
      <c r="C144" s="24"/>
      <c r="E144" s="24">
        <v>248.31312400979743</v>
      </c>
      <c r="F144" s="24">
        <v>253.68859200979745</v>
      </c>
      <c r="G144" s="24">
        <v>252.74529600979744</v>
      </c>
      <c r="H144" s="24">
        <v>251.19163200979744</v>
      </c>
      <c r="I144" s="17"/>
      <c r="J144" s="68">
        <f>HLOOKUP($J$3,$E$3:$H$243,142,FALSE)</f>
        <v>248.31312400979743</v>
      </c>
      <c r="X144" s="22" t="s">
        <v>14</v>
      </c>
      <c r="Y144" s="23">
        <v>73.89554166666649</v>
      </c>
      <c r="Z144" s="24"/>
      <c r="AB144" s="24">
        <v>124.38835157390017</v>
      </c>
      <c r="AC144" s="24">
        <v>129.76381957390018</v>
      </c>
      <c r="AD144" s="24">
        <v>128.82052357390018</v>
      </c>
      <c r="AE144" s="24">
        <v>127.26685957390018</v>
      </c>
      <c r="AF144" s="17"/>
      <c r="AG144" s="68">
        <f>HLOOKUP($J$3,$AB$3:$AE$243,142,FALSE)</f>
        <v>124.38835157390017</v>
      </c>
    </row>
    <row r="145" spans="1:33" ht="15.75" customHeight="1">
      <c r="A145" s="22" t="s">
        <v>15</v>
      </c>
      <c r="B145" s="23">
        <v>73.89554166666649</v>
      </c>
      <c r="C145" s="24"/>
      <c r="E145" s="24">
        <v>283.84319999999997</v>
      </c>
      <c r="F145" s="24">
        <v>347.08399999999995</v>
      </c>
      <c r="G145" s="24">
        <v>335.9864</v>
      </c>
      <c r="H145" s="24">
        <v>317.70799999999997</v>
      </c>
      <c r="I145" s="17"/>
      <c r="J145" s="68">
        <f>HLOOKUP($J$3,$E$3:$H$243,143,FALSE)</f>
        <v>283.84319999999997</v>
      </c>
      <c r="X145" s="22" t="s">
        <v>15</v>
      </c>
      <c r="Y145" s="23">
        <v>73.89554166666649</v>
      </c>
      <c r="Z145" s="24"/>
      <c r="AB145" s="24">
        <v>133.1584275641027</v>
      </c>
      <c r="AC145" s="24">
        <v>196.3992275641027</v>
      </c>
      <c r="AD145" s="24">
        <v>185.30162756410274</v>
      </c>
      <c r="AE145" s="24">
        <v>167.0232275641027</v>
      </c>
      <c r="AF145" s="17"/>
      <c r="AG145" s="68">
        <f>HLOOKUP($J$3,$AB$3:$AE$243,143,FALSE)</f>
        <v>133.1584275641027</v>
      </c>
    </row>
    <row r="146" spans="1:33" ht="15.75" customHeight="1">
      <c r="A146" s="22" t="s">
        <v>16</v>
      </c>
      <c r="B146" s="23">
        <v>84.69874493410276</v>
      </c>
      <c r="C146" s="24"/>
      <c r="E146" s="24">
        <v>405.6703340800336</v>
      </c>
      <c r="F146" s="24">
        <v>414.4465060800336</v>
      </c>
      <c r="G146" s="24">
        <v>412.90100208003355</v>
      </c>
      <c r="H146" s="24">
        <v>410.3554660800336</v>
      </c>
      <c r="I146" s="17"/>
      <c r="J146" s="68">
        <f>HLOOKUP($J$3,$E$3:$H$243,144,FALSE)</f>
        <v>405.6703340800336</v>
      </c>
      <c r="X146" s="22" t="s">
        <v>16</v>
      </c>
      <c r="Y146" s="23">
        <v>84.69874493410276</v>
      </c>
      <c r="Z146" s="24"/>
      <c r="AB146" s="24">
        <v>270.9423583767001</v>
      </c>
      <c r="AC146" s="24">
        <v>279.7185303767001</v>
      </c>
      <c r="AD146" s="24">
        <v>278.1730263767</v>
      </c>
      <c r="AE146" s="24">
        <v>275.62749037670005</v>
      </c>
      <c r="AF146" s="17"/>
      <c r="AG146" s="68">
        <f>HLOOKUP($J$3,$AB$3:$AE$243,144,FALSE)</f>
        <v>270.9423583767001</v>
      </c>
    </row>
    <row r="147" spans="1:33" ht="15.75" customHeight="1">
      <c r="A147" s="22" t="s">
        <v>17</v>
      </c>
      <c r="B147" s="23">
        <v>84.69874493410276</v>
      </c>
      <c r="C147" s="24"/>
      <c r="E147" s="24">
        <v>582.4870729744962</v>
      </c>
      <c r="F147" s="24">
        <v>604.6213529744962</v>
      </c>
      <c r="G147" s="24">
        <v>600.7371929744962</v>
      </c>
      <c r="H147" s="24">
        <v>594.3397529744962</v>
      </c>
      <c r="I147" s="17"/>
      <c r="J147" s="68">
        <f>HLOOKUP($J$3,$E$3:$H$243,145,FALSE)</f>
        <v>582.4870729744962</v>
      </c>
      <c r="X147" s="22" t="s">
        <v>17</v>
      </c>
      <c r="Y147" s="23">
        <v>84.69874493410276</v>
      </c>
      <c r="Z147" s="24"/>
      <c r="AB147" s="24">
        <v>221.31909727116266</v>
      </c>
      <c r="AC147" s="24">
        <v>243.45337727116265</v>
      </c>
      <c r="AD147" s="24">
        <v>239.5692172711627</v>
      </c>
      <c r="AE147" s="24">
        <v>233.17177727116263</v>
      </c>
      <c r="AF147" s="17"/>
      <c r="AG147" s="68">
        <f>HLOOKUP($J$3,$AB$3:$AE$243,145,FALSE)</f>
        <v>221.31909727116266</v>
      </c>
    </row>
    <row r="148" spans="1:33" ht="15.75" customHeight="1">
      <c r="A148" s="22" t="s">
        <v>18</v>
      </c>
      <c r="B148" s="23">
        <v>98.21647328478267</v>
      </c>
      <c r="C148" s="24"/>
      <c r="E148" s="24">
        <v>419.1903340800336</v>
      </c>
      <c r="F148" s="24">
        <v>427.9665060800336</v>
      </c>
      <c r="G148" s="24">
        <v>426.42100208003365</v>
      </c>
      <c r="H148" s="24">
        <v>423.8754660800336</v>
      </c>
      <c r="I148" s="17"/>
      <c r="J148" s="68">
        <f>HLOOKUP($J$3,$E$3:$H$243,146,FALSE)</f>
        <v>419.1903340800336</v>
      </c>
      <c r="X148" s="22" t="s">
        <v>18</v>
      </c>
      <c r="Y148" s="23">
        <v>98.21647328478267</v>
      </c>
      <c r="Z148" s="24"/>
      <c r="AB148" s="24">
        <v>270.94463002602015</v>
      </c>
      <c r="AC148" s="24">
        <v>279.7208020260201</v>
      </c>
      <c r="AD148" s="24">
        <v>278.1752980260202</v>
      </c>
      <c r="AE148" s="24">
        <v>275.6297620260202</v>
      </c>
      <c r="AF148" s="17"/>
      <c r="AG148" s="68">
        <f>HLOOKUP($J$3,$AB$3:$AE$243,146,FALSE)</f>
        <v>270.94463002602015</v>
      </c>
    </row>
    <row r="149" spans="1:33" ht="15.75" customHeight="1">
      <c r="A149" s="22" t="s">
        <v>19</v>
      </c>
      <c r="B149" s="23">
        <v>98.21647328478267</v>
      </c>
      <c r="C149" s="24"/>
      <c r="E149" s="24">
        <v>596.0070729744962</v>
      </c>
      <c r="F149" s="24">
        <v>618.1413529744963</v>
      </c>
      <c r="G149" s="24">
        <v>614.2571929744963</v>
      </c>
      <c r="H149" s="24">
        <v>607.8597529744962</v>
      </c>
      <c r="I149" s="17"/>
      <c r="J149" s="68">
        <f>HLOOKUP($J$3,$E$3:$H$243,147,FALSE)</f>
        <v>596.0070729744962</v>
      </c>
      <c r="X149" s="22" t="s">
        <v>19</v>
      </c>
      <c r="Y149" s="23">
        <v>98.21647328478267</v>
      </c>
      <c r="Z149" s="24"/>
      <c r="AB149" s="24">
        <v>221.3213689204827</v>
      </c>
      <c r="AC149" s="24">
        <v>243.45564892048282</v>
      </c>
      <c r="AD149" s="24">
        <v>239.57148892048286</v>
      </c>
      <c r="AE149" s="24">
        <v>233.1740489204828</v>
      </c>
      <c r="AF149" s="17"/>
      <c r="AG149" s="68">
        <f>HLOOKUP($J$3,$AB$3:$AE$243,147,FALSE)</f>
        <v>221.3213689204827</v>
      </c>
    </row>
    <row r="150" spans="1:33" ht="15.75" customHeight="1">
      <c r="A150" s="22" t="s">
        <v>20</v>
      </c>
      <c r="B150" s="23">
        <v>98.21647328478267</v>
      </c>
      <c r="C150" s="24"/>
      <c r="E150" s="24">
        <v>486.08473607803506</v>
      </c>
      <c r="F150" s="24">
        <v>494.86090807803504</v>
      </c>
      <c r="G150" s="24">
        <v>493.31540407803504</v>
      </c>
      <c r="H150" s="24">
        <v>490.7698680780351</v>
      </c>
      <c r="I150" s="17"/>
      <c r="J150" s="68">
        <f>HLOOKUP($J$3,$E$3:$H$243,148,FALSE)</f>
        <v>486.08473607803506</v>
      </c>
      <c r="X150" s="22" t="s">
        <v>20</v>
      </c>
      <c r="Y150" s="23">
        <v>98.21647328478267</v>
      </c>
      <c r="Z150" s="24"/>
      <c r="AB150" s="24">
        <v>337.83903202402166</v>
      </c>
      <c r="AC150" s="24">
        <v>346.61520402402164</v>
      </c>
      <c r="AD150" s="24">
        <v>345.0697000240216</v>
      </c>
      <c r="AE150" s="24">
        <v>342.5241640240216</v>
      </c>
      <c r="AF150" s="17"/>
      <c r="AG150" s="68">
        <f>HLOOKUP($J$3,$AB$3:$AE$243,148,FALSE)</f>
        <v>337.83903202402166</v>
      </c>
    </row>
    <row r="151" spans="1:33" ht="15.75" customHeight="1">
      <c r="A151" s="22" t="s">
        <v>21</v>
      </c>
      <c r="B151" s="23">
        <v>98.21647328478267</v>
      </c>
      <c r="C151" s="24"/>
      <c r="E151" s="24">
        <v>724.5990685635213</v>
      </c>
      <c r="F151" s="24">
        <v>746.7333485635212</v>
      </c>
      <c r="G151" s="24">
        <v>742.8491885635212</v>
      </c>
      <c r="H151" s="24">
        <v>736.4517485635213</v>
      </c>
      <c r="I151" s="17"/>
      <c r="J151" s="68">
        <f>HLOOKUP($J$3,$E$3:$H$243,149,FALSE)</f>
        <v>724.5990685635213</v>
      </c>
      <c r="X151" s="22" t="s">
        <v>21</v>
      </c>
      <c r="Y151" s="23">
        <v>98.21647328478267</v>
      </c>
      <c r="Z151" s="24"/>
      <c r="AB151" s="24">
        <v>250.07336450950794</v>
      </c>
      <c r="AC151" s="24">
        <v>272.2076445095078</v>
      </c>
      <c r="AD151" s="24">
        <v>268.32348450950786</v>
      </c>
      <c r="AE151" s="24">
        <v>261.9260445095079</v>
      </c>
      <c r="AF151" s="17"/>
      <c r="AG151" s="68">
        <f>HLOOKUP($J$3,$AB$3:$AE$243,149,FALSE)</f>
        <v>250.07336450950794</v>
      </c>
    </row>
    <row r="152" spans="1:33" ht="15.75" customHeight="1">
      <c r="A152" s="22" t="s">
        <v>22</v>
      </c>
      <c r="B152" s="23">
        <v>98.21647328478267</v>
      </c>
      <c r="C152" s="24"/>
      <c r="E152" s="24">
        <v>549.7291380760364</v>
      </c>
      <c r="F152" s="24">
        <v>558.5053100760365</v>
      </c>
      <c r="G152" s="24">
        <v>556.9598060760364</v>
      </c>
      <c r="H152" s="24">
        <v>554.4142700760365</v>
      </c>
      <c r="I152" s="17"/>
      <c r="J152" s="68">
        <f>HLOOKUP($J$3,$E$3:$H$243,150,FALSE)</f>
        <v>549.7291380760364</v>
      </c>
      <c r="X152" s="22" t="s">
        <v>22</v>
      </c>
      <c r="Y152" s="23">
        <v>98.21647328478267</v>
      </c>
      <c r="Z152" s="24"/>
      <c r="AB152" s="24">
        <v>401.48343402202295</v>
      </c>
      <c r="AC152" s="24">
        <v>410.25960602202304</v>
      </c>
      <c r="AD152" s="24">
        <v>408.714102022023</v>
      </c>
      <c r="AE152" s="24">
        <v>406.168566022023</v>
      </c>
      <c r="AF152" s="17"/>
      <c r="AG152" s="68">
        <f>HLOOKUP($J$3,$AB$3:$AE$243,150,FALSE)</f>
        <v>401.48343402202295</v>
      </c>
    </row>
    <row r="153" spans="1:33" ht="15.75" customHeight="1">
      <c r="A153" s="22" t="s">
        <v>23</v>
      </c>
      <c r="B153" s="23">
        <v>98.21647328478267</v>
      </c>
      <c r="C153" s="24"/>
      <c r="E153" s="24">
        <v>786.3117007675462</v>
      </c>
      <c r="F153" s="24">
        <v>808.4459807675462</v>
      </c>
      <c r="G153" s="24">
        <v>804.5618207675462</v>
      </c>
      <c r="H153" s="24">
        <v>798.1643807675462</v>
      </c>
      <c r="I153" s="17"/>
      <c r="J153" s="68">
        <f>HLOOKUP($J$3,$E$3:$H$243,151,FALSE)</f>
        <v>786.3117007675462</v>
      </c>
      <c r="X153" s="22" t="s">
        <v>23</v>
      </c>
      <c r="Y153" s="23">
        <v>98.21647328478267</v>
      </c>
      <c r="Z153" s="24"/>
      <c r="AB153" s="24">
        <v>211.94599671353285</v>
      </c>
      <c r="AC153" s="24">
        <v>234.08027671353284</v>
      </c>
      <c r="AD153" s="24">
        <v>230.1961167135329</v>
      </c>
      <c r="AE153" s="24">
        <v>223.7986767135328</v>
      </c>
      <c r="AF153" s="17"/>
      <c r="AG153" s="68">
        <f>HLOOKUP($J$3,$AB$3:$AE$243,151,FALSE)</f>
        <v>211.94599671353285</v>
      </c>
    </row>
    <row r="154" spans="1:33" ht="15.75" customHeight="1">
      <c r="A154" s="18" t="s">
        <v>25</v>
      </c>
      <c r="B154" s="13" t="s">
        <v>8</v>
      </c>
      <c r="C154" s="14" t="s">
        <v>29</v>
      </c>
      <c r="E154" s="14" t="s">
        <v>6</v>
      </c>
      <c r="F154" s="14" t="s">
        <v>6</v>
      </c>
      <c r="G154" s="14" t="s">
        <v>6</v>
      </c>
      <c r="H154" s="14" t="s">
        <v>6</v>
      </c>
      <c r="I154" s="61"/>
      <c r="J154" s="68" t="str">
        <f>HLOOKUP($J$3,$E$3:$H$243,152,FALSE)</f>
        <v>Part-time - 24 hours</v>
      </c>
      <c r="X154" s="18" t="s">
        <v>25</v>
      </c>
      <c r="Y154" s="13" t="s">
        <v>8</v>
      </c>
      <c r="Z154" s="14" t="s">
        <v>29</v>
      </c>
      <c r="AB154" s="14" t="s">
        <v>6</v>
      </c>
      <c r="AC154" s="14" t="s">
        <v>6</v>
      </c>
      <c r="AD154" s="14" t="s">
        <v>6</v>
      </c>
      <c r="AE154" s="14" t="s">
        <v>6</v>
      </c>
      <c r="AF154" s="61"/>
      <c r="AG154" s="68" t="str">
        <f>HLOOKUP($J$3,$AB$3:$AE$243,152,FALSE)</f>
        <v>Part-time - 24 hours</v>
      </c>
    </row>
    <row r="155" spans="1:33" ht="15.75" customHeight="1">
      <c r="A155" s="27" t="s">
        <v>10</v>
      </c>
      <c r="B155" s="23">
        <v>127.2225586275902</v>
      </c>
      <c r="C155" s="24">
        <v>213.27433383528847</v>
      </c>
      <c r="E155" s="24">
        <v>250.01281780129898</v>
      </c>
      <c r="F155" s="24">
        <v>255.388285801299</v>
      </c>
      <c r="G155" s="24">
        <v>254.444989801299</v>
      </c>
      <c r="H155" s="24">
        <v>252.891325801299</v>
      </c>
      <c r="I155" s="17"/>
      <c r="J155" s="68">
        <f>HLOOKUP($J$3,$E$3:$H$243,153,FALSE)</f>
        <v>250.01281780129898</v>
      </c>
      <c r="X155" s="27" t="s">
        <v>10</v>
      </c>
      <c r="Y155" s="23">
        <v>127.2225586275902</v>
      </c>
      <c r="Z155" s="24">
        <v>213.27433383528847</v>
      </c>
      <c r="AB155" s="24">
        <v>83.04948994293954</v>
      </c>
      <c r="AC155" s="24">
        <v>88.42495794293956</v>
      </c>
      <c r="AD155" s="24">
        <v>87.48166194293955</v>
      </c>
      <c r="AE155" s="24">
        <v>85.92799794293956</v>
      </c>
      <c r="AF155" s="17"/>
      <c r="AG155" s="68">
        <f>HLOOKUP($J$3,$AB$3:$AE$243,153,FALSE)</f>
        <v>83.04948994293954</v>
      </c>
    </row>
    <row r="156" spans="1:33" ht="15.75" customHeight="1">
      <c r="A156" s="27" t="s">
        <v>11</v>
      </c>
      <c r="B156" s="23">
        <v>146.7261021760684</v>
      </c>
      <c r="C156" s="25">
        <v>372.57743799720964</v>
      </c>
      <c r="E156" s="24">
        <v>542.3779595356712</v>
      </c>
      <c r="F156" s="24">
        <v>553.4450995356711</v>
      </c>
      <c r="G156" s="24">
        <v>551.5030195356711</v>
      </c>
      <c r="H156" s="24">
        <v>548.3042995356711</v>
      </c>
      <c r="I156" s="17"/>
      <c r="J156" s="68">
        <f>HLOOKUP($J$3,$E$3:$H$243,154,FALSE)</f>
        <v>542.3779595356712</v>
      </c>
      <c r="X156" s="27" t="s">
        <v>11</v>
      </c>
      <c r="Y156" s="23">
        <v>146.7261021760684</v>
      </c>
      <c r="Z156" s="25">
        <v>372.57743799720964</v>
      </c>
      <c r="AB156" s="24">
        <v>196.55108812883356</v>
      </c>
      <c r="AC156" s="24">
        <v>207.61822812883355</v>
      </c>
      <c r="AD156" s="24">
        <v>205.67614812883352</v>
      </c>
      <c r="AE156" s="24">
        <v>202.47742812883354</v>
      </c>
      <c r="AF156" s="17"/>
      <c r="AG156" s="68">
        <f>HLOOKUP($J$3,$AB$3:$AE$243,154,FALSE)</f>
        <v>196.55108812883356</v>
      </c>
    </row>
    <row r="157" spans="1:33" ht="15.75" customHeight="1">
      <c r="A157" s="27" t="s">
        <v>12</v>
      </c>
      <c r="B157" s="23">
        <v>127.2225586275902</v>
      </c>
      <c r="C157" s="24">
        <v>250.5168872741135</v>
      </c>
      <c r="E157" s="24"/>
      <c r="F157" s="24"/>
      <c r="G157" s="24"/>
      <c r="H157" s="24"/>
      <c r="I157" s="17"/>
      <c r="J157" s="68">
        <f>HLOOKUP($J$3,$E$3:$H$243,155,FALSE)</f>
        <v>0</v>
      </c>
      <c r="X157" s="27" t="s">
        <v>12</v>
      </c>
      <c r="Y157" s="23">
        <v>127.2225586275902</v>
      </c>
      <c r="Z157" s="24">
        <v>250.5168872741135</v>
      </c>
      <c r="AB157" s="24"/>
      <c r="AC157" s="24"/>
      <c r="AD157" s="24"/>
      <c r="AE157" s="24"/>
      <c r="AF157" s="17"/>
      <c r="AG157" s="68">
        <f>HLOOKUP($J$3,$AB$3:$AE$243,155,FALSE)</f>
        <v>0</v>
      </c>
    </row>
    <row r="158" spans="1:33" ht="15.75" customHeight="1">
      <c r="A158" s="27" t="s">
        <v>13</v>
      </c>
      <c r="B158" s="23">
        <v>146.7261021760684</v>
      </c>
      <c r="C158" s="24">
        <v>409.8199914360347</v>
      </c>
      <c r="E158" s="24"/>
      <c r="F158" s="24"/>
      <c r="G158" s="24"/>
      <c r="H158" s="24"/>
      <c r="I158" s="17"/>
      <c r="J158" s="68">
        <f>HLOOKUP($J$3,$E$3:$H$243,156,FALSE)</f>
        <v>0</v>
      </c>
      <c r="X158" s="27" t="s">
        <v>13</v>
      </c>
      <c r="Y158" s="23">
        <v>146.7261021760684</v>
      </c>
      <c r="Z158" s="24">
        <v>409.8199914360347</v>
      </c>
      <c r="AB158" s="24"/>
      <c r="AC158" s="24"/>
      <c r="AD158" s="24"/>
      <c r="AE158" s="24"/>
      <c r="AF158" s="17"/>
      <c r="AG158" s="68">
        <f>HLOOKUP($J$3,$AB$3:$AE$243,156,FALSE)</f>
        <v>0</v>
      </c>
    </row>
    <row r="159" spans="1:33" ht="15.75" customHeight="1">
      <c r="A159" s="27" t="s">
        <v>14</v>
      </c>
      <c r="B159" s="23">
        <v>127.2225586275902</v>
      </c>
      <c r="C159" s="24"/>
      <c r="E159" s="24">
        <v>301.3590308591125</v>
      </c>
      <c r="F159" s="24">
        <v>306.7344988591125</v>
      </c>
      <c r="G159" s="24">
        <v>305.7912028591125</v>
      </c>
      <c r="H159" s="24">
        <v>304.23753885911253</v>
      </c>
      <c r="I159" s="17"/>
      <c r="J159" s="68">
        <f>HLOOKUP($J$3,$E$3:$H$243,157,FALSE)</f>
        <v>301.3590308591125</v>
      </c>
      <c r="X159" s="27" t="s">
        <v>14</v>
      </c>
      <c r="Y159" s="23">
        <v>127.2225586275902</v>
      </c>
      <c r="Z159" s="24"/>
      <c r="AB159" s="24">
        <v>134.3957030007531</v>
      </c>
      <c r="AC159" s="24">
        <v>139.77117100075304</v>
      </c>
      <c r="AD159" s="24">
        <v>138.82787500075307</v>
      </c>
      <c r="AE159" s="24">
        <v>137.2742110007531</v>
      </c>
      <c r="AF159" s="17"/>
      <c r="AG159" s="68">
        <f>HLOOKUP($J$3,$AB$3:$AE$243,157,FALSE)</f>
        <v>134.3957030007531</v>
      </c>
    </row>
    <row r="160" spans="1:33" ht="15.75" customHeight="1">
      <c r="A160" s="27" t="s">
        <v>15</v>
      </c>
      <c r="B160" s="23">
        <v>127.2225586275902</v>
      </c>
      <c r="C160" s="24"/>
      <c r="E160" s="24">
        <v>335.68796881257504</v>
      </c>
      <c r="F160" s="24">
        <v>357.822248812575</v>
      </c>
      <c r="G160" s="24">
        <v>353.938088812575</v>
      </c>
      <c r="H160" s="24">
        <v>347.540648812575</v>
      </c>
      <c r="I160" s="17"/>
      <c r="J160" s="68">
        <f>HLOOKUP($J$3,$E$3:$H$243,158,FALSE)</f>
        <v>335.68796881257504</v>
      </c>
      <c r="X160" s="27" t="s">
        <v>15</v>
      </c>
      <c r="Y160" s="23">
        <v>127.2225586275902</v>
      </c>
      <c r="Z160" s="24"/>
      <c r="AB160" s="24">
        <v>151.9646409542156</v>
      </c>
      <c r="AC160" s="24">
        <v>174.0989209542156</v>
      </c>
      <c r="AD160" s="24">
        <v>170.2147609542156</v>
      </c>
      <c r="AE160" s="24">
        <v>163.81732095421557</v>
      </c>
      <c r="AF160" s="17"/>
      <c r="AG160" s="68">
        <f>HLOOKUP($J$3,$AB$3:$AE$243,158,FALSE)</f>
        <v>151.9646409542156</v>
      </c>
    </row>
    <row r="161" spans="1:33" ht="15.75" customHeight="1">
      <c r="A161" s="27" t="s">
        <v>16</v>
      </c>
      <c r="B161" s="23">
        <v>146.7261021760684</v>
      </c>
      <c r="C161" s="24"/>
      <c r="E161" s="24">
        <v>467.4262409293487</v>
      </c>
      <c r="F161" s="24">
        <v>476.20241292934867</v>
      </c>
      <c r="G161" s="24">
        <v>474.6569089293487</v>
      </c>
      <c r="H161" s="24">
        <v>472.1113729293487</v>
      </c>
      <c r="I161" s="17"/>
      <c r="J161" s="68">
        <f>HLOOKUP($J$3,$E$3:$H$243,159,FALSE)</f>
        <v>467.4262409293487</v>
      </c>
      <c r="X161" s="27" t="s">
        <v>16</v>
      </c>
      <c r="Y161" s="23">
        <v>146.7261021760684</v>
      </c>
      <c r="Z161" s="24"/>
      <c r="AB161" s="24">
        <v>280.9593695225111</v>
      </c>
      <c r="AC161" s="24">
        <v>289.7355415225111</v>
      </c>
      <c r="AD161" s="24">
        <v>288.19003752251103</v>
      </c>
      <c r="AE161" s="24">
        <v>285.64450152251106</v>
      </c>
      <c r="AF161" s="17"/>
      <c r="AG161" s="68">
        <f>HLOOKUP($J$3,$AB$3:$AE$243,159,FALSE)</f>
        <v>280.9593695225111</v>
      </c>
    </row>
    <row r="162" spans="1:33" ht="15.75" customHeight="1">
      <c r="A162" s="27" t="s">
        <v>17</v>
      </c>
      <c r="B162" s="23">
        <v>146.7261021760684</v>
      </c>
      <c r="C162" s="24"/>
      <c r="E162" s="24">
        <v>616.2930729744961</v>
      </c>
      <c r="F162" s="24">
        <v>638.4273529744962</v>
      </c>
      <c r="G162" s="24">
        <v>634.5431929744962</v>
      </c>
      <c r="H162" s="24">
        <v>628.1457529744962</v>
      </c>
      <c r="I162" s="17"/>
      <c r="J162" s="68">
        <f>HLOOKUP($J$3,$E$3:$H$243,160,FALSE)</f>
        <v>616.2930729744961</v>
      </c>
      <c r="X162" s="27" t="s">
        <v>17</v>
      </c>
      <c r="Y162" s="23">
        <v>146.7261021760684</v>
      </c>
      <c r="Z162" s="24"/>
      <c r="AB162" s="24">
        <v>253.70620156765852</v>
      </c>
      <c r="AC162" s="24">
        <v>275.8404815676586</v>
      </c>
      <c r="AD162" s="24">
        <v>271.95632156765856</v>
      </c>
      <c r="AE162" s="24">
        <v>265.5588815676586</v>
      </c>
      <c r="AF162" s="17"/>
      <c r="AG162" s="68">
        <f>HLOOKUP($J$3,$AB$3:$AE$243,160,FALSE)</f>
        <v>253.70620156765852</v>
      </c>
    </row>
    <row r="163" spans="1:33" ht="15.75" customHeight="1">
      <c r="A163" s="27" t="s">
        <v>18</v>
      </c>
      <c r="B163" s="23">
        <v>164.5548639965686</v>
      </c>
      <c r="C163" s="24"/>
      <c r="E163" s="24">
        <v>485.2462409293487</v>
      </c>
      <c r="F163" s="24">
        <v>494.02241292934866</v>
      </c>
      <c r="G163" s="24">
        <v>492.47690892934867</v>
      </c>
      <c r="H163" s="24">
        <v>489.93137292934864</v>
      </c>
      <c r="I163" s="17"/>
      <c r="J163" s="68">
        <f>HLOOKUP($J$3,$E$3:$H$243,161,FALSE)</f>
        <v>485.2462409293487</v>
      </c>
      <c r="X163" s="27" t="s">
        <v>18</v>
      </c>
      <c r="Y163" s="23">
        <v>164.5548639965686</v>
      </c>
      <c r="Z163" s="24"/>
      <c r="AB163" s="24">
        <v>280.95060770201087</v>
      </c>
      <c r="AC163" s="24">
        <v>289.72677970201084</v>
      </c>
      <c r="AD163" s="24">
        <v>288.18127570201085</v>
      </c>
      <c r="AE163" s="24">
        <v>285.6357397020108</v>
      </c>
      <c r="AF163" s="17"/>
      <c r="AG163" s="68">
        <f>HLOOKUP($J$3,$AB$3:$AE$243,161,FALSE)</f>
        <v>280.95060770201087</v>
      </c>
    </row>
    <row r="164" spans="1:33" ht="15.75" customHeight="1">
      <c r="A164" s="27" t="s">
        <v>19</v>
      </c>
      <c r="B164" s="23">
        <v>164.5548639965686</v>
      </c>
      <c r="C164" s="24"/>
      <c r="E164" s="24">
        <v>634.1130729744962</v>
      </c>
      <c r="F164" s="24">
        <v>656.2473529744962</v>
      </c>
      <c r="G164" s="24">
        <v>652.3631929744962</v>
      </c>
      <c r="H164" s="24">
        <v>645.9657529744961</v>
      </c>
      <c r="I164" s="17"/>
      <c r="J164" s="68">
        <f>HLOOKUP($J$3,$E$3:$H$243,162,FALSE)</f>
        <v>634.1130729744962</v>
      </c>
      <c r="X164" s="27" t="s">
        <v>19</v>
      </c>
      <c r="Y164" s="23">
        <v>164.5548639965686</v>
      </c>
      <c r="Z164" s="24"/>
      <c r="AB164" s="24">
        <v>253.69743974715834</v>
      </c>
      <c r="AC164" s="24">
        <v>275.83171974715833</v>
      </c>
      <c r="AD164" s="24">
        <v>271.9475597471584</v>
      </c>
      <c r="AE164" s="24">
        <v>265.5501197471583</v>
      </c>
      <c r="AF164" s="17"/>
      <c r="AG164" s="68">
        <f>HLOOKUP($J$3,$AB$3:$AE$243,162,FALSE)</f>
        <v>253.69743974715834</v>
      </c>
    </row>
    <row r="165" spans="1:33" ht="15.75" customHeight="1">
      <c r="A165" s="27" t="s">
        <v>20</v>
      </c>
      <c r="B165" s="23">
        <v>164.5548639965686</v>
      </c>
      <c r="C165" s="24"/>
      <c r="E165" s="24">
        <v>552.1406429273501</v>
      </c>
      <c r="F165" s="24">
        <v>560.9168149273501</v>
      </c>
      <c r="G165" s="24">
        <v>559.3713109273501</v>
      </c>
      <c r="H165" s="24">
        <v>556.82577492735</v>
      </c>
      <c r="I165" s="17"/>
      <c r="J165" s="68">
        <f>HLOOKUP($J$3,$E$3:$H$243,163,FALSE)</f>
        <v>552.1406429273501</v>
      </c>
      <c r="X165" s="27" t="s">
        <v>20</v>
      </c>
      <c r="Y165" s="23">
        <v>164.5548639965686</v>
      </c>
      <c r="Z165" s="24"/>
      <c r="AB165" s="24">
        <v>347.84500970001227</v>
      </c>
      <c r="AC165" s="24">
        <v>356.62118170001224</v>
      </c>
      <c r="AD165" s="24">
        <v>355.0756777000123</v>
      </c>
      <c r="AE165" s="24">
        <v>352.5301417000122</v>
      </c>
      <c r="AF165" s="17"/>
      <c r="AG165" s="68">
        <f>HLOOKUP($J$3,$AB$3:$AE$243,163,FALSE)</f>
        <v>347.84500970001227</v>
      </c>
    </row>
    <row r="166" spans="1:33" ht="15.75" customHeight="1">
      <c r="A166" s="27" t="s">
        <v>21</v>
      </c>
      <c r="B166" s="23">
        <v>164.5548639965686</v>
      </c>
      <c r="C166" s="24"/>
      <c r="E166" s="24">
        <v>754.8517051785211</v>
      </c>
      <c r="F166" s="24">
        <v>776.9859851785211</v>
      </c>
      <c r="G166" s="24">
        <v>773.1018251785212</v>
      </c>
      <c r="H166" s="24">
        <v>766.7043851785211</v>
      </c>
      <c r="I166" s="17"/>
      <c r="J166" s="68">
        <f>HLOOKUP($J$3,$E$3:$H$243,164,FALSE)</f>
        <v>754.8517051785211</v>
      </c>
      <c r="X166" s="27" t="s">
        <v>21</v>
      </c>
      <c r="Y166" s="23">
        <v>164.5548639965686</v>
      </c>
      <c r="Z166" s="24"/>
      <c r="AB166" s="24">
        <v>294.75607195118334</v>
      </c>
      <c r="AC166" s="24">
        <v>316.89035195118333</v>
      </c>
      <c r="AD166" s="24">
        <v>313.0061919511834</v>
      </c>
      <c r="AE166" s="24">
        <v>306.6087519511833</v>
      </c>
      <c r="AF166" s="17"/>
      <c r="AG166" s="68">
        <f>HLOOKUP($J$3,$AB$3:$AE$243,164,FALSE)</f>
        <v>294.75607195118334</v>
      </c>
    </row>
    <row r="167" spans="1:33" ht="15.75" customHeight="1">
      <c r="A167" s="27" t="s">
        <v>22</v>
      </c>
      <c r="B167" s="23">
        <v>164.5548639965686</v>
      </c>
      <c r="C167" s="24"/>
      <c r="E167" s="24">
        <v>615.7850449253515</v>
      </c>
      <c r="F167" s="24">
        <v>624.5612169253515</v>
      </c>
      <c r="G167" s="24">
        <v>623.0157129253515</v>
      </c>
      <c r="H167" s="24">
        <v>620.4701769253516</v>
      </c>
      <c r="I167" s="17"/>
      <c r="J167" s="68">
        <f>HLOOKUP($J$3,$E$3:$H$243,165,FALSE)</f>
        <v>615.7850449253515</v>
      </c>
      <c r="X167" s="27" t="s">
        <v>22</v>
      </c>
      <c r="Y167" s="23">
        <v>164.5548639965686</v>
      </c>
      <c r="Z167" s="24"/>
      <c r="AB167" s="24">
        <v>411.48941169801367</v>
      </c>
      <c r="AC167" s="24">
        <v>420.26558369801364</v>
      </c>
      <c r="AD167" s="24">
        <v>418.7200796980137</v>
      </c>
      <c r="AE167" s="24">
        <v>416.17454369801374</v>
      </c>
      <c r="AF167" s="17"/>
      <c r="AG167" s="68">
        <f>HLOOKUP($J$3,$AB$3:$AE$243,165,FALSE)</f>
        <v>411.48941169801367</v>
      </c>
    </row>
    <row r="168" spans="1:33" ht="15.75" customHeight="1">
      <c r="A168" s="27" t="s">
        <v>23</v>
      </c>
      <c r="B168" s="23">
        <v>164.5548639965686</v>
      </c>
      <c r="C168" s="24"/>
      <c r="E168" s="24">
        <v>852.6417007675464</v>
      </c>
      <c r="F168" s="24">
        <v>874.7759807675462</v>
      </c>
      <c r="G168" s="24">
        <v>870.8918207675463</v>
      </c>
      <c r="H168" s="24">
        <v>864.4943807675463</v>
      </c>
      <c r="I168" s="17"/>
      <c r="J168" s="68">
        <f>HLOOKUP($J$3,$E$3:$H$243,166,FALSE)</f>
        <v>852.6417007675464</v>
      </c>
      <c r="X168" s="27" t="s">
        <v>23</v>
      </c>
      <c r="Y168" s="23">
        <v>164.5548639965686</v>
      </c>
      <c r="Z168" s="24"/>
      <c r="AB168" s="24">
        <v>312.8660675402085</v>
      </c>
      <c r="AC168" s="24">
        <v>335.0003475402084</v>
      </c>
      <c r="AD168" s="24">
        <v>331.11618754020844</v>
      </c>
      <c r="AE168" s="24">
        <v>324.7187475402085</v>
      </c>
      <c r="AF168" s="17"/>
      <c r="AG168" s="68">
        <f>HLOOKUP($J$3,$AB$3:$AE$243,166,FALSE)</f>
        <v>312.8660675402085</v>
      </c>
    </row>
    <row r="169" spans="1:33" ht="15.75" customHeight="1">
      <c r="A169" s="18" t="s">
        <v>26</v>
      </c>
      <c r="B169" s="13" t="s">
        <v>8</v>
      </c>
      <c r="C169" s="14" t="s">
        <v>29</v>
      </c>
      <c r="E169" s="14" t="s">
        <v>6</v>
      </c>
      <c r="F169" s="14" t="s">
        <v>6</v>
      </c>
      <c r="G169" s="14" t="s">
        <v>6</v>
      </c>
      <c r="H169" s="14" t="s">
        <v>6</v>
      </c>
      <c r="I169" s="61"/>
      <c r="J169" s="68" t="str">
        <f>HLOOKUP($J$3,$E$3:$H$243,167,FALSE)</f>
        <v>Part-time - 24 hours</v>
      </c>
      <c r="X169" s="18" t="s">
        <v>26</v>
      </c>
      <c r="Y169" s="13" t="s">
        <v>8</v>
      </c>
      <c r="Z169" s="14" t="s">
        <v>29</v>
      </c>
      <c r="AB169" s="14" t="s">
        <v>6</v>
      </c>
      <c r="AC169" s="14" t="s">
        <v>6</v>
      </c>
      <c r="AD169" s="14" t="s">
        <v>6</v>
      </c>
      <c r="AE169" s="14" t="s">
        <v>6</v>
      </c>
      <c r="AF169" s="61"/>
      <c r="AG169" s="68" t="str">
        <f>HLOOKUP($J$3,$AB$3:$AE$243,167,FALSE)</f>
        <v>Part-time - 24 hours</v>
      </c>
    </row>
    <row r="170" spans="1:33" ht="15.75" customHeight="1">
      <c r="A170" s="22" t="s">
        <v>10</v>
      </c>
      <c r="B170" s="23">
        <v>59.1539719860898</v>
      </c>
      <c r="C170" s="24">
        <v>145.20433383528848</v>
      </c>
      <c r="E170" s="24">
        <v>181.942817801299</v>
      </c>
      <c r="F170" s="24">
        <v>187.318285801299</v>
      </c>
      <c r="G170" s="24">
        <v>186.374989801299</v>
      </c>
      <c r="H170" s="24">
        <v>184.821325801299</v>
      </c>
      <c r="I170" s="17"/>
      <c r="J170" s="68">
        <f>HLOOKUP($J$3,$E$3:$H$243,168,FALSE)</f>
        <v>181.942817801299</v>
      </c>
      <c r="X170" s="22" t="s">
        <v>10</v>
      </c>
      <c r="Y170" s="23">
        <v>59.1539719860898</v>
      </c>
      <c r="Z170" s="24">
        <v>145.20433383528848</v>
      </c>
      <c r="AB170" s="24">
        <v>83.04807658443995</v>
      </c>
      <c r="AC170" s="24">
        <v>88.42354458443997</v>
      </c>
      <c r="AD170" s="24">
        <v>87.48024858443996</v>
      </c>
      <c r="AE170" s="24">
        <v>85.92658458443996</v>
      </c>
      <c r="AF170" s="17"/>
      <c r="AG170" s="68">
        <f>HLOOKUP($J$3,$AB$3:$AE$243,168,FALSE)</f>
        <v>83.04807658443995</v>
      </c>
    </row>
    <row r="171" spans="1:33" ht="15.75" customHeight="1">
      <c r="A171" s="22" t="s">
        <v>11</v>
      </c>
      <c r="B171" s="23">
        <v>68.22242714955922</v>
      </c>
      <c r="C171" s="24">
        <v>294.06743799720965</v>
      </c>
      <c r="E171" s="24">
        <v>464.35345953567116</v>
      </c>
      <c r="F171" s="24">
        <v>475.42059953567116</v>
      </c>
      <c r="G171" s="24">
        <v>473.4785195356711</v>
      </c>
      <c r="H171" s="24">
        <v>470.27979953567115</v>
      </c>
      <c r="I171" s="17"/>
      <c r="J171" s="68">
        <f>HLOOKUP($J$3,$E$3:$H$243,169,FALSE)</f>
        <v>464.35345953567116</v>
      </c>
      <c r="X171" s="22" t="s">
        <v>11</v>
      </c>
      <c r="Y171" s="23">
        <v>68.22242714955922</v>
      </c>
      <c r="Z171" s="24">
        <v>294.06743799720965</v>
      </c>
      <c r="AB171" s="24">
        <v>197.0302631553427</v>
      </c>
      <c r="AC171" s="24">
        <v>208.0974031553427</v>
      </c>
      <c r="AD171" s="24">
        <v>206.15532315534267</v>
      </c>
      <c r="AE171" s="24">
        <v>202.9566031553427</v>
      </c>
      <c r="AF171" s="17"/>
      <c r="AG171" s="68">
        <f>HLOOKUP($J$3,$AB$3:$AE$243,169,FALSE)</f>
        <v>197.0302631553427</v>
      </c>
    </row>
    <row r="172" spans="1:33" ht="15.75" customHeight="1">
      <c r="A172" s="22" t="s">
        <v>12</v>
      </c>
      <c r="B172" s="23">
        <v>59.1539719860898</v>
      </c>
      <c r="C172" s="24">
        <v>182.4468872741135</v>
      </c>
      <c r="E172" s="24"/>
      <c r="F172" s="24"/>
      <c r="G172" s="24"/>
      <c r="H172" s="24"/>
      <c r="I172" s="17"/>
      <c r="J172" s="68">
        <f>HLOOKUP($J$3,$E$3:$H$243,170,FALSE)</f>
        <v>0</v>
      </c>
      <c r="X172" s="22" t="s">
        <v>12</v>
      </c>
      <c r="Y172" s="23">
        <v>59.1539719860898</v>
      </c>
      <c r="Z172" s="24">
        <v>182.4468872741135</v>
      </c>
      <c r="AB172" s="24"/>
      <c r="AC172" s="24"/>
      <c r="AD172" s="24"/>
      <c r="AE172" s="24"/>
      <c r="AF172" s="17"/>
      <c r="AG172" s="68">
        <f>HLOOKUP($J$3,$AB$3:$AE$243,170,FALSE)</f>
        <v>0</v>
      </c>
    </row>
    <row r="173" spans="1:33" ht="15.75" customHeight="1">
      <c r="A173" s="22" t="s">
        <v>13</v>
      </c>
      <c r="B173" s="23">
        <v>68.22242714955922</v>
      </c>
      <c r="C173" s="24">
        <v>331.3099914360347</v>
      </c>
      <c r="E173" s="24"/>
      <c r="F173" s="24"/>
      <c r="G173" s="24"/>
      <c r="H173" s="24"/>
      <c r="I173" s="17"/>
      <c r="J173" s="68">
        <f>HLOOKUP($J$3,$E$3:$H$243,171,FALSE)</f>
        <v>0</v>
      </c>
      <c r="X173" s="22" t="s">
        <v>13</v>
      </c>
      <c r="Y173" s="23">
        <v>68.22242714955922</v>
      </c>
      <c r="Z173" s="24">
        <v>331.3099914360347</v>
      </c>
      <c r="AB173" s="24"/>
      <c r="AC173" s="24"/>
      <c r="AD173" s="24"/>
      <c r="AE173" s="24"/>
      <c r="AF173" s="17"/>
      <c r="AG173" s="68">
        <f>HLOOKUP($J$3,$AB$3:$AE$243,171,FALSE)</f>
        <v>0</v>
      </c>
    </row>
    <row r="174" spans="1:33" ht="15.75" customHeight="1">
      <c r="A174" s="22" t="s">
        <v>14</v>
      </c>
      <c r="B174" s="23">
        <v>59.1539719860898</v>
      </c>
      <c r="C174" s="24"/>
      <c r="E174" s="24">
        <v>233.28903085911253</v>
      </c>
      <c r="F174" s="24">
        <v>238.66449885911248</v>
      </c>
      <c r="G174" s="24">
        <v>237.7212028591125</v>
      </c>
      <c r="H174" s="24">
        <v>236.1675388591125</v>
      </c>
      <c r="I174" s="17"/>
      <c r="J174" s="68">
        <f>HLOOKUP($J$3,$E$3:$H$243,172,FALSE)</f>
        <v>233.28903085911253</v>
      </c>
      <c r="X174" s="22" t="s">
        <v>14</v>
      </c>
      <c r="Y174" s="23">
        <v>59.1539719860898</v>
      </c>
      <c r="Z174" s="24"/>
      <c r="AB174" s="24">
        <v>134.3942896422535</v>
      </c>
      <c r="AC174" s="24">
        <v>139.76975764225347</v>
      </c>
      <c r="AD174" s="24">
        <v>138.8264616422535</v>
      </c>
      <c r="AE174" s="24">
        <v>137.27279764225347</v>
      </c>
      <c r="AF174" s="17"/>
      <c r="AG174" s="68">
        <f>HLOOKUP($J$3,$AB$3:$AE$243,172,FALSE)</f>
        <v>134.3942896422535</v>
      </c>
    </row>
    <row r="175" spans="1:33" ht="15.75" customHeight="1">
      <c r="A175" s="22" t="s">
        <v>15</v>
      </c>
      <c r="B175" s="23">
        <v>59.1539719860898</v>
      </c>
      <c r="C175" s="24"/>
      <c r="E175" s="24">
        <v>283.84319999999997</v>
      </c>
      <c r="F175" s="24">
        <v>347.08399999999995</v>
      </c>
      <c r="G175" s="24">
        <v>335.9864</v>
      </c>
      <c r="H175" s="24">
        <v>317.70799999999997</v>
      </c>
      <c r="I175" s="17"/>
      <c r="J175" s="68">
        <f>HLOOKUP($J$3,$E$3:$H$243,173,FALSE)</f>
        <v>283.84319999999997</v>
      </c>
      <c r="X175" s="22" t="s">
        <v>15</v>
      </c>
      <c r="Y175" s="23">
        <v>59.1539719860898</v>
      </c>
      <c r="Z175" s="24"/>
      <c r="AB175" s="24">
        <v>168.18845878314093</v>
      </c>
      <c r="AC175" s="24">
        <v>231.4292587831409</v>
      </c>
      <c r="AD175" s="24">
        <v>220.33165878314097</v>
      </c>
      <c r="AE175" s="24">
        <v>202.05325878314093</v>
      </c>
      <c r="AF175" s="17"/>
      <c r="AG175" s="68">
        <f>HLOOKUP($J$3,$AB$3:$AE$243,173,FALSE)</f>
        <v>168.18845878314093</v>
      </c>
    </row>
    <row r="176" spans="1:33" ht="15.75" customHeight="1">
      <c r="A176" s="22" t="s">
        <v>16</v>
      </c>
      <c r="B176" s="23">
        <v>68.22242714955922</v>
      </c>
      <c r="C176" s="24"/>
      <c r="E176" s="24">
        <v>388.9162409293487</v>
      </c>
      <c r="F176" s="24">
        <v>397.6924129293487</v>
      </c>
      <c r="G176" s="24">
        <v>396.1469089293487</v>
      </c>
      <c r="H176" s="24">
        <v>393.6013729293487</v>
      </c>
      <c r="I176" s="17"/>
      <c r="J176" s="68">
        <f>HLOOKUP($J$3,$E$3:$H$243,174,FALSE)</f>
        <v>388.9162409293487</v>
      </c>
      <c r="X176" s="22" t="s">
        <v>16</v>
      </c>
      <c r="Y176" s="23">
        <v>68.22242714955922</v>
      </c>
      <c r="Z176" s="24"/>
      <c r="AB176" s="24">
        <v>280.95304454902026</v>
      </c>
      <c r="AC176" s="24">
        <v>289.72921654902024</v>
      </c>
      <c r="AD176" s="24">
        <v>288.18371254902024</v>
      </c>
      <c r="AE176" s="24">
        <v>285.6381765490203</v>
      </c>
      <c r="AF176" s="17"/>
      <c r="AG176" s="68">
        <f>HLOOKUP($J$3,$AB$3:$AE$243,174,FALSE)</f>
        <v>280.95304454902026</v>
      </c>
    </row>
    <row r="177" spans="1:33" ht="15.75" customHeight="1">
      <c r="A177" s="22" t="s">
        <v>17</v>
      </c>
      <c r="B177" s="23">
        <v>68.22242714955922</v>
      </c>
      <c r="C177" s="24"/>
      <c r="E177" s="24">
        <v>537.7830729744961</v>
      </c>
      <c r="F177" s="24">
        <v>559.9173529744962</v>
      </c>
      <c r="G177" s="24">
        <v>556.0331929744962</v>
      </c>
      <c r="H177" s="24">
        <v>549.6357529744962</v>
      </c>
      <c r="I177" s="17"/>
      <c r="J177" s="68">
        <f>HLOOKUP($J$3,$E$3:$H$243,175,FALSE)</f>
        <v>537.7830729744961</v>
      </c>
      <c r="X177" s="22" t="s">
        <v>17</v>
      </c>
      <c r="Y177" s="23">
        <v>68.22242714955922</v>
      </c>
      <c r="Z177" s="24"/>
      <c r="AB177" s="24">
        <v>253.69987659416768</v>
      </c>
      <c r="AC177" s="24">
        <v>275.8341565941678</v>
      </c>
      <c r="AD177" s="24">
        <v>271.9499965941677</v>
      </c>
      <c r="AE177" s="24">
        <v>265.55255659416775</v>
      </c>
      <c r="AF177" s="17"/>
      <c r="AG177" s="68">
        <f>HLOOKUP($J$3,$AB$3:$AE$243,175,FALSE)</f>
        <v>253.69987659416768</v>
      </c>
    </row>
    <row r="178" spans="1:33" ht="15.75" customHeight="1">
      <c r="A178" s="22" t="s">
        <v>18</v>
      </c>
      <c r="B178" s="23">
        <v>76.51216828236977</v>
      </c>
      <c r="C178" s="24"/>
      <c r="E178" s="24">
        <v>397.20624092934867</v>
      </c>
      <c r="F178" s="24">
        <v>405.98241292934864</v>
      </c>
      <c r="G178" s="24">
        <v>404.43690892934865</v>
      </c>
      <c r="H178" s="24">
        <v>401.8913729293487</v>
      </c>
      <c r="I178" s="17"/>
      <c r="J178" s="68">
        <f>HLOOKUP($J$3,$E$3:$H$243,176,FALSE)</f>
        <v>397.20624092934867</v>
      </c>
      <c r="X178" s="22" t="s">
        <v>18</v>
      </c>
      <c r="Y178" s="23">
        <v>76.51216828236977</v>
      </c>
      <c r="Z178" s="24"/>
      <c r="AB178" s="24">
        <v>280.9533034162097</v>
      </c>
      <c r="AC178" s="24">
        <v>289.72947541620965</v>
      </c>
      <c r="AD178" s="24">
        <v>288.18397141620966</v>
      </c>
      <c r="AE178" s="24">
        <v>285.6384354162097</v>
      </c>
      <c r="AF178" s="17"/>
      <c r="AG178" s="68">
        <f>HLOOKUP($J$3,$AB$3:$AE$243,176,FALSE)</f>
        <v>280.9533034162097</v>
      </c>
    </row>
    <row r="179" spans="1:33" ht="15.75" customHeight="1">
      <c r="A179" s="22" t="s">
        <v>19</v>
      </c>
      <c r="B179" s="23">
        <v>76.51216828236977</v>
      </c>
      <c r="C179" s="24"/>
      <c r="E179" s="24">
        <v>546.0730729744961</v>
      </c>
      <c r="F179" s="24">
        <v>568.2073529744962</v>
      </c>
      <c r="G179" s="24">
        <v>564.3231929744961</v>
      </c>
      <c r="H179" s="24">
        <v>557.9257529744962</v>
      </c>
      <c r="I179" s="17"/>
      <c r="J179" s="68">
        <f>HLOOKUP($J$3,$E$3:$H$243,177,FALSE)</f>
        <v>546.0730729744961</v>
      </c>
      <c r="X179" s="22" t="s">
        <v>19</v>
      </c>
      <c r="Y179" s="23">
        <v>76.51216828236977</v>
      </c>
      <c r="Z179" s="24"/>
      <c r="AB179" s="24">
        <v>253.7001354613571</v>
      </c>
      <c r="AC179" s="24">
        <v>275.8344154613572</v>
      </c>
      <c r="AD179" s="24">
        <v>271.95025546135713</v>
      </c>
      <c r="AE179" s="24">
        <v>265.55281546135717</v>
      </c>
      <c r="AF179" s="17"/>
      <c r="AG179" s="68">
        <f>HLOOKUP($J$3,$AB$3:$AE$243,177,FALSE)</f>
        <v>253.7001354613571</v>
      </c>
    </row>
    <row r="180" spans="1:33" ht="15.75" customHeight="1">
      <c r="A180" s="22" t="s">
        <v>20</v>
      </c>
      <c r="B180" s="23">
        <v>76.51216828236977</v>
      </c>
      <c r="C180" s="24"/>
      <c r="E180" s="24">
        <v>464.10064292735007</v>
      </c>
      <c r="F180" s="24">
        <v>472.87681492735004</v>
      </c>
      <c r="G180" s="24">
        <v>471.33131092735005</v>
      </c>
      <c r="H180" s="24">
        <v>468.7857749273501</v>
      </c>
      <c r="I180" s="17"/>
      <c r="J180" s="68">
        <f>HLOOKUP($J$3,$E$3:$H$243,178,FALSE)</f>
        <v>464.10064292735007</v>
      </c>
      <c r="X180" s="22" t="s">
        <v>20</v>
      </c>
      <c r="Y180" s="23">
        <v>76.51216828236977</v>
      </c>
      <c r="Z180" s="24"/>
      <c r="AB180" s="24">
        <v>347.8477054142111</v>
      </c>
      <c r="AC180" s="24">
        <v>356.62387741421105</v>
      </c>
      <c r="AD180" s="24">
        <v>355.07837341421106</v>
      </c>
      <c r="AE180" s="24">
        <v>352.5328374142111</v>
      </c>
      <c r="AF180" s="17"/>
      <c r="AG180" s="68">
        <f>HLOOKUP($J$3,$AB$3:$AE$243,178,FALSE)</f>
        <v>347.8477054142111</v>
      </c>
    </row>
    <row r="181" spans="1:33" ht="15.75" customHeight="1">
      <c r="A181" s="22" t="s">
        <v>21</v>
      </c>
      <c r="B181" s="23">
        <v>76.51216828236977</v>
      </c>
      <c r="C181" s="24"/>
      <c r="E181" s="24">
        <v>666.8117051785212</v>
      </c>
      <c r="F181" s="24">
        <v>688.9459851785211</v>
      </c>
      <c r="G181" s="24">
        <v>685.0618251785212</v>
      </c>
      <c r="H181" s="24">
        <v>678.6643851785211</v>
      </c>
      <c r="I181" s="17"/>
      <c r="J181" s="68">
        <f>HLOOKUP($J$3,$E$3:$H$243,179,FALSE)</f>
        <v>666.8117051785212</v>
      </c>
      <c r="X181" s="22" t="s">
        <v>21</v>
      </c>
      <c r="Y181" s="23">
        <v>76.51216828236977</v>
      </c>
      <c r="Z181" s="24"/>
      <c r="AB181" s="24">
        <v>294.7587676653822</v>
      </c>
      <c r="AC181" s="24">
        <v>316.8930476653822</v>
      </c>
      <c r="AD181" s="24">
        <v>313.00888766538225</v>
      </c>
      <c r="AE181" s="24">
        <v>306.6114476653822</v>
      </c>
      <c r="AF181" s="17"/>
      <c r="AG181" s="68">
        <f>HLOOKUP($J$3,$AB$3:$AE$243,179,FALSE)</f>
        <v>294.7587676653822</v>
      </c>
    </row>
    <row r="182" spans="1:33" ht="15.75" customHeight="1">
      <c r="A182" s="22" t="s">
        <v>22</v>
      </c>
      <c r="B182" s="23">
        <v>76.51216828236977</v>
      </c>
      <c r="C182" s="24"/>
      <c r="E182" s="24">
        <v>527.7450449253515</v>
      </c>
      <c r="F182" s="24">
        <v>536.5212169253515</v>
      </c>
      <c r="G182" s="24">
        <v>534.9757129253514</v>
      </c>
      <c r="H182" s="24">
        <v>532.4301769253516</v>
      </c>
      <c r="I182" s="17"/>
      <c r="J182" s="68">
        <f>HLOOKUP($J$3,$E$3:$H$243,180,FALSE)</f>
        <v>527.7450449253515</v>
      </c>
      <c r="X182" s="22" t="s">
        <v>22</v>
      </c>
      <c r="Y182" s="23">
        <v>76.51216828236977</v>
      </c>
      <c r="Z182" s="24"/>
      <c r="AB182" s="24">
        <v>411.49210741221253</v>
      </c>
      <c r="AC182" s="24">
        <v>420.2682794122125</v>
      </c>
      <c r="AD182" s="24">
        <v>418.72277541221246</v>
      </c>
      <c r="AE182" s="24">
        <v>416.1772394122126</v>
      </c>
      <c r="AF182" s="17"/>
      <c r="AG182" s="68">
        <f>HLOOKUP($J$3,$AB$3:$AE$243,180,FALSE)</f>
        <v>411.49210741221253</v>
      </c>
    </row>
    <row r="183" spans="1:33" ht="15.75" customHeight="1">
      <c r="A183" s="38" t="s">
        <v>23</v>
      </c>
      <c r="B183" s="39">
        <v>76.51216828236977</v>
      </c>
      <c r="C183" s="40"/>
      <c r="E183" s="40">
        <v>764.6017007675462</v>
      </c>
      <c r="F183" s="40">
        <v>786.7359807675462</v>
      </c>
      <c r="G183" s="40">
        <v>782.8518207675462</v>
      </c>
      <c r="H183" s="40">
        <v>776.4543807675461</v>
      </c>
      <c r="I183" s="17"/>
      <c r="J183" s="68">
        <f>HLOOKUP($J$3,$E$3:$H$243,181,FALSE)</f>
        <v>764.6017007675462</v>
      </c>
      <c r="X183" s="38" t="s">
        <v>23</v>
      </c>
      <c r="Y183" s="39">
        <v>76.51216828236977</v>
      </c>
      <c r="Z183" s="40"/>
      <c r="AB183" s="40">
        <v>312.8687632544072</v>
      </c>
      <c r="AC183" s="40">
        <v>335.0030432544072</v>
      </c>
      <c r="AD183" s="40">
        <v>331.11888325440725</v>
      </c>
      <c r="AE183" s="40">
        <v>324.7214432544072</v>
      </c>
      <c r="AF183" s="17"/>
      <c r="AG183" s="68">
        <f>HLOOKUP($J$3,$AB$3:$AE$243,181,FALSE)</f>
        <v>312.8687632544072</v>
      </c>
    </row>
    <row r="184" spans="1:33" ht="15.75" customHeight="1">
      <c r="A184" s="18" t="s">
        <v>9</v>
      </c>
      <c r="B184" s="13" t="s">
        <v>8</v>
      </c>
      <c r="C184" s="14" t="s">
        <v>29</v>
      </c>
      <c r="E184" s="15" t="s">
        <v>7</v>
      </c>
      <c r="F184" s="15" t="s">
        <v>7</v>
      </c>
      <c r="G184" s="15" t="s">
        <v>7</v>
      </c>
      <c r="H184" s="15" t="s">
        <v>7</v>
      </c>
      <c r="I184" s="61"/>
      <c r="J184" s="68" t="str">
        <f>HLOOKUP($J$3,$E$3:$H$243,182,FALSE)</f>
        <v>Full-time - 35 hours</v>
      </c>
      <c r="X184" s="18" t="s">
        <v>9</v>
      </c>
      <c r="Y184" s="13" t="s">
        <v>8</v>
      </c>
      <c r="Z184" s="14" t="s">
        <v>29</v>
      </c>
      <c r="AB184" s="15" t="s">
        <v>7</v>
      </c>
      <c r="AC184" s="15" t="s">
        <v>7</v>
      </c>
      <c r="AD184" s="15" t="s">
        <v>7</v>
      </c>
      <c r="AE184" s="15" t="s">
        <v>7</v>
      </c>
      <c r="AF184" s="61"/>
      <c r="AG184" s="68" t="str">
        <f>HLOOKUP($J$3,$AB$3:$AE$243,182,FALSE)</f>
        <v>Full-time - 35 hours</v>
      </c>
    </row>
    <row r="185" spans="1:33" ht="15.75" customHeight="1">
      <c r="A185" s="22" t="s">
        <v>10</v>
      </c>
      <c r="B185" s="23">
        <v>200.05625406835097</v>
      </c>
      <c r="C185" s="24">
        <v>286.3891799891346</v>
      </c>
      <c r="E185" s="24">
        <v>331.5487281169301</v>
      </c>
      <c r="F185" s="24">
        <v>346.73129537375</v>
      </c>
      <c r="G185" s="24">
        <v>343.89909537375</v>
      </c>
      <c r="H185" s="24">
        <v>339.23429537375</v>
      </c>
      <c r="I185" s="17"/>
      <c r="J185" s="68">
        <f>HLOOKUP($J$3,$E$3:$H$243,183,FALSE)</f>
        <v>331.5487281169301</v>
      </c>
      <c r="X185" s="22" t="s">
        <v>10</v>
      </c>
      <c r="Y185" s="23">
        <v>200.05625406835097</v>
      </c>
      <c r="Z185" s="24">
        <v>286.3891799891346</v>
      </c>
      <c r="AB185" s="24">
        <v>81.46324327934835</v>
      </c>
      <c r="AC185" s="24">
        <v>96.64581053616828</v>
      </c>
      <c r="AD185" s="24">
        <v>93.81361053616828</v>
      </c>
      <c r="AE185" s="24">
        <v>89.14881053616827</v>
      </c>
      <c r="AF185" s="17"/>
      <c r="AG185" s="68">
        <f>HLOOKUP($J$3,$AB$3:$AE$243,183,FALSE)</f>
        <v>81.46324327934835</v>
      </c>
    </row>
    <row r="186" spans="1:33" ht="15.75" customHeight="1">
      <c r="A186" s="22" t="s">
        <v>11</v>
      </c>
      <c r="B186" s="23">
        <v>229.30359875081356</v>
      </c>
      <c r="C186" s="24">
        <v>455.4222841510558</v>
      </c>
      <c r="E186" s="24">
        <v>732.4261629206711</v>
      </c>
      <c r="F186" s="24">
        <v>748.4197629206711</v>
      </c>
      <c r="G186" s="24">
        <v>745.5875629206712</v>
      </c>
      <c r="H186" s="24">
        <v>740.9227629206712</v>
      </c>
      <c r="I186" s="17"/>
      <c r="J186" s="68">
        <f>HLOOKUP($J$3,$E$3:$H$243,184,FALSE)</f>
        <v>732.4261629206711</v>
      </c>
      <c r="X186" s="22" t="s">
        <v>11</v>
      </c>
      <c r="Y186" s="23">
        <v>229.30359875081356</v>
      </c>
      <c r="Z186" s="24">
        <v>455.4222841510558</v>
      </c>
      <c r="AB186" s="24">
        <v>161.89333340062683</v>
      </c>
      <c r="AC186" s="24">
        <v>177.88693340062684</v>
      </c>
      <c r="AD186" s="24">
        <v>175.0547334006269</v>
      </c>
      <c r="AE186" s="24">
        <v>170.3899334006269</v>
      </c>
      <c r="AF186" s="17"/>
      <c r="AG186" s="68">
        <f>HLOOKUP($J$3,$AB$3:$AE$243,184,FALSE)</f>
        <v>161.89333340062683</v>
      </c>
    </row>
    <row r="187" spans="1:33" ht="15.75" customHeight="1">
      <c r="A187" s="22" t="s">
        <v>12</v>
      </c>
      <c r="B187" s="23">
        <v>200.05625406835097</v>
      </c>
      <c r="C187" s="24">
        <v>323.6317334279596</v>
      </c>
      <c r="E187" s="24"/>
      <c r="F187" s="24"/>
      <c r="G187" s="24"/>
      <c r="H187" s="24"/>
      <c r="I187" s="17"/>
      <c r="J187" s="68">
        <f>HLOOKUP($J$3,$E$3:$H$243,185,FALSE)</f>
        <v>0</v>
      </c>
      <c r="X187" s="22" t="s">
        <v>12</v>
      </c>
      <c r="Y187" s="23">
        <v>200.05625406835097</v>
      </c>
      <c r="Z187" s="24">
        <v>323.6317334279596</v>
      </c>
      <c r="AB187" s="24"/>
      <c r="AC187" s="24"/>
      <c r="AD187" s="24"/>
      <c r="AE187" s="24"/>
      <c r="AF187" s="17"/>
      <c r="AG187" s="68">
        <f>HLOOKUP($J$3,$AB$3:$AE$243,185,FALSE)</f>
        <v>0</v>
      </c>
    </row>
    <row r="188" spans="1:33" ht="15.75" customHeight="1">
      <c r="A188" s="22" t="s">
        <v>13</v>
      </c>
      <c r="B188" s="23">
        <v>229.30359875081356</v>
      </c>
      <c r="C188" s="24">
        <v>492.66483758988085</v>
      </c>
      <c r="E188" s="24"/>
      <c r="F188" s="24"/>
      <c r="G188" s="24"/>
      <c r="H188" s="24"/>
      <c r="I188" s="17"/>
      <c r="J188" s="68">
        <f>HLOOKUP($J$3,$E$3:$H$243,186,FALSE)</f>
        <v>0</v>
      </c>
      <c r="X188" s="22" t="s">
        <v>13</v>
      </c>
      <c r="Y188" s="23">
        <v>229.30359875081356</v>
      </c>
      <c r="Z188" s="24">
        <v>492.66483758988085</v>
      </c>
      <c r="AB188" s="24"/>
      <c r="AC188" s="24"/>
      <c r="AD188" s="24"/>
      <c r="AE188" s="24"/>
      <c r="AF188" s="17"/>
      <c r="AG188" s="68">
        <f>HLOOKUP($J$3,$AB$3:$AE$243,186,FALSE)</f>
        <v>0</v>
      </c>
    </row>
    <row r="189" spans="1:33" ht="15.75" customHeight="1">
      <c r="A189" s="22" t="s">
        <v>14</v>
      </c>
      <c r="B189" s="23">
        <v>200.05625406835097</v>
      </c>
      <c r="C189" s="24"/>
      <c r="E189" s="24">
        <v>376.35691163736857</v>
      </c>
      <c r="F189" s="24">
        <v>390.473848812575</v>
      </c>
      <c r="G189" s="24">
        <v>387.641648812575</v>
      </c>
      <c r="H189" s="24">
        <v>383.11849163736855</v>
      </c>
      <c r="I189" s="17"/>
      <c r="J189" s="68">
        <f>HLOOKUP($J$3,$E$3:$H$243,187,FALSE)</f>
        <v>376.35691163736857</v>
      </c>
      <c r="X189" s="22" t="s">
        <v>14</v>
      </c>
      <c r="Y189" s="23">
        <v>200.05625406835097</v>
      </c>
      <c r="Z189" s="24"/>
      <c r="AB189" s="24">
        <v>126.27142679978684</v>
      </c>
      <c r="AC189" s="24">
        <v>140.38836397499327</v>
      </c>
      <c r="AD189" s="24">
        <v>137.55616397499327</v>
      </c>
      <c r="AE189" s="24">
        <v>133.03300679978682</v>
      </c>
      <c r="AF189" s="17"/>
      <c r="AG189" s="68">
        <f>HLOOKUP($J$3,$AB$3:$AE$243,187,FALSE)</f>
        <v>126.27142679978684</v>
      </c>
    </row>
    <row r="190" spans="1:33" ht="15.75" customHeight="1">
      <c r="A190" s="22" t="s">
        <v>15</v>
      </c>
      <c r="B190" s="23">
        <v>200.05625406835097</v>
      </c>
      <c r="C190" s="24"/>
      <c r="E190" s="24">
        <v>439.77764881257497</v>
      </c>
      <c r="F190" s="24">
        <v>471.764848812575</v>
      </c>
      <c r="G190" s="24">
        <v>466.100448812575</v>
      </c>
      <c r="H190" s="24">
        <v>456.77084881257497</v>
      </c>
      <c r="I190" s="17"/>
      <c r="J190" s="68">
        <f>HLOOKUP($J$3,$E$3:$H$243,188,FALSE)</f>
        <v>439.77764881257497</v>
      </c>
      <c r="X190" s="22" t="s">
        <v>15</v>
      </c>
      <c r="Y190" s="23">
        <v>200.05625406835097</v>
      </c>
      <c r="Z190" s="24"/>
      <c r="AB190" s="24">
        <v>162.93216397499322</v>
      </c>
      <c r="AC190" s="24">
        <v>194.91936397499325</v>
      </c>
      <c r="AD190" s="24">
        <v>189.25496397499325</v>
      </c>
      <c r="AE190" s="24">
        <v>179.92536397499322</v>
      </c>
      <c r="AF190" s="17"/>
      <c r="AG190" s="68">
        <f>HLOOKUP($J$3,$AB$3:$AE$243,188,FALSE)</f>
        <v>162.93216397499322</v>
      </c>
    </row>
    <row r="191" spans="1:33" ht="15.75" customHeight="1">
      <c r="A191" s="22" t="s">
        <v>16</v>
      </c>
      <c r="B191" s="23">
        <v>229.30359875081356</v>
      </c>
      <c r="C191" s="24"/>
      <c r="E191" s="24">
        <v>560.2099056577798</v>
      </c>
      <c r="F191" s="24">
        <v>572.9375856577798</v>
      </c>
      <c r="G191" s="24">
        <v>570.6837256577799</v>
      </c>
      <c r="H191" s="26">
        <v>566.9714856577798</v>
      </c>
      <c r="I191" s="65"/>
      <c r="J191" s="68">
        <f>HLOOKUP($J$3,$E$3:$H$243,189,FALSE)</f>
        <v>560.2099056577798</v>
      </c>
      <c r="X191" s="22" t="s">
        <v>16</v>
      </c>
      <c r="Y191" s="23">
        <v>229.30359875081356</v>
      </c>
      <c r="Z191" s="24"/>
      <c r="AB191" s="24">
        <v>280.87707613773546</v>
      </c>
      <c r="AC191" s="24">
        <v>293.6047561377354</v>
      </c>
      <c r="AD191" s="24">
        <v>291.3508961377355</v>
      </c>
      <c r="AE191" s="26">
        <v>287.63865613773544</v>
      </c>
      <c r="AF191" s="65"/>
      <c r="AG191" s="68">
        <f>HLOOKUP($J$3,$AB$3:$AE$243,189,FALSE)</f>
        <v>280.87707613773546</v>
      </c>
    </row>
    <row r="192" spans="1:33" ht="15.75" customHeight="1">
      <c r="A192" s="22" t="s">
        <v>17</v>
      </c>
      <c r="B192" s="23">
        <v>229.30359875081356</v>
      </c>
      <c r="C192" s="24"/>
      <c r="E192" s="24">
        <v>821.9661163594963</v>
      </c>
      <c r="F192" s="24">
        <v>853.9533163594963</v>
      </c>
      <c r="G192" s="24">
        <v>848.2889163594962</v>
      </c>
      <c r="H192" s="24">
        <v>838.9593163594961</v>
      </c>
      <c r="I192" s="17"/>
      <c r="J192" s="68">
        <f>HLOOKUP($J$3,$E$3:$H$243,190,FALSE)</f>
        <v>821.9661163594963</v>
      </c>
      <c r="X192" s="22" t="s">
        <v>17</v>
      </c>
      <c r="Y192" s="23">
        <v>229.30359875081356</v>
      </c>
      <c r="Z192" s="24"/>
      <c r="AB192" s="24">
        <v>224.67328683945198</v>
      </c>
      <c r="AC192" s="24">
        <v>256.660486839452</v>
      </c>
      <c r="AD192" s="24">
        <v>250.9960868394519</v>
      </c>
      <c r="AE192" s="24">
        <v>241.66648683945186</v>
      </c>
      <c r="AF192" s="17"/>
      <c r="AG192" s="68">
        <f>HLOOKUP($J$3,$AB$3:$AE$243,190,FALSE)</f>
        <v>224.67328683945198</v>
      </c>
    </row>
    <row r="193" spans="1:33" ht="15.75" customHeight="1">
      <c r="A193" s="22" t="s">
        <v>18</v>
      </c>
      <c r="B193" s="23">
        <v>265.8999350974548</v>
      </c>
      <c r="C193" s="24"/>
      <c r="E193" s="24">
        <v>596.8099056577797</v>
      </c>
      <c r="F193" s="24">
        <v>609.5375856577797</v>
      </c>
      <c r="G193" s="24">
        <v>607.2837256577798</v>
      </c>
      <c r="H193" s="24">
        <v>603.5714856577797</v>
      </c>
      <c r="I193" s="17"/>
      <c r="J193" s="68">
        <f>HLOOKUP($J$3,$E$3:$H$243,191,FALSE)</f>
        <v>596.8099056577797</v>
      </c>
      <c r="X193" s="22" t="s">
        <v>18</v>
      </c>
      <c r="Y193" s="23">
        <v>265.8999350974548</v>
      </c>
      <c r="Z193" s="24"/>
      <c r="AB193" s="24">
        <v>280.8807397910942</v>
      </c>
      <c r="AC193" s="24">
        <v>293.60841979109415</v>
      </c>
      <c r="AD193" s="24">
        <v>291.35455979109423</v>
      </c>
      <c r="AE193" s="24">
        <v>287.64231979109417</v>
      </c>
      <c r="AF193" s="17"/>
      <c r="AG193" s="68">
        <f>HLOOKUP($J$3,$AB$3:$AE$243,191,FALSE)</f>
        <v>280.8807397910942</v>
      </c>
    </row>
    <row r="194" spans="1:33" ht="15.75" customHeight="1">
      <c r="A194" s="22" t="s">
        <v>19</v>
      </c>
      <c r="B194" s="23">
        <v>265.8999350974548</v>
      </c>
      <c r="C194" s="24"/>
      <c r="E194" s="24">
        <v>858.5661163594962</v>
      </c>
      <c r="F194" s="24">
        <v>890.5533163594962</v>
      </c>
      <c r="G194" s="24">
        <v>884.8889163594961</v>
      </c>
      <c r="H194" s="24">
        <v>875.559316359496</v>
      </c>
      <c r="I194" s="17"/>
      <c r="J194" s="68">
        <f>HLOOKUP($J$3,$E$3:$H$243,192,FALSE)</f>
        <v>858.5661163594962</v>
      </c>
      <c r="X194" s="22" t="s">
        <v>19</v>
      </c>
      <c r="Y194" s="23">
        <v>265.8999350974548</v>
      </c>
      <c r="Z194" s="24"/>
      <c r="AB194" s="24">
        <v>224.67695049281065</v>
      </c>
      <c r="AC194" s="24">
        <v>256.6641504928107</v>
      </c>
      <c r="AD194" s="24">
        <v>250.99975049281056</v>
      </c>
      <c r="AE194" s="24">
        <v>241.67015049281054</v>
      </c>
      <c r="AF194" s="17"/>
      <c r="AG194" s="68">
        <f>HLOOKUP($J$3,$AB$3:$AE$243,192,FALSE)</f>
        <v>224.67695049281065</v>
      </c>
    </row>
    <row r="195" spans="1:33" ht="15.75" customHeight="1">
      <c r="A195" s="22" t="s">
        <v>20</v>
      </c>
      <c r="B195" s="23">
        <v>265.8999350974548</v>
      </c>
      <c r="C195" s="24"/>
      <c r="E195" s="24">
        <v>663.7043076557811</v>
      </c>
      <c r="F195" s="24">
        <v>676.4319876557811</v>
      </c>
      <c r="G195" s="24">
        <v>674.178127655781</v>
      </c>
      <c r="H195" s="24">
        <v>670.4658876557812</v>
      </c>
      <c r="I195" s="17"/>
      <c r="J195" s="68">
        <f>HLOOKUP($J$3,$E$3:$H$243,193,FALSE)</f>
        <v>663.7043076557811</v>
      </c>
      <c r="X195" s="22" t="s">
        <v>20</v>
      </c>
      <c r="Y195" s="23">
        <v>265.8999350974548</v>
      </c>
      <c r="Z195" s="24"/>
      <c r="AB195" s="24">
        <v>347.7751417890956</v>
      </c>
      <c r="AC195" s="24">
        <v>360.50282178909555</v>
      </c>
      <c r="AD195" s="24">
        <v>358.2489617890955</v>
      </c>
      <c r="AE195" s="24">
        <v>354.5367217890957</v>
      </c>
      <c r="AF195" s="17"/>
      <c r="AG195" s="68">
        <f>HLOOKUP($J$3,$AB$3:$AE$243,193,FALSE)</f>
        <v>347.7751417890956</v>
      </c>
    </row>
    <row r="196" spans="1:33" ht="15.75" customHeight="1">
      <c r="A196" s="22" t="s">
        <v>21</v>
      </c>
      <c r="B196" s="23">
        <v>265.8999350974548</v>
      </c>
      <c r="C196" s="24"/>
      <c r="E196" s="24">
        <v>923.5287485635213</v>
      </c>
      <c r="F196" s="24">
        <v>955.5159485635212</v>
      </c>
      <c r="G196" s="24">
        <v>949.8515485635212</v>
      </c>
      <c r="H196" s="24">
        <v>940.5219485635212</v>
      </c>
      <c r="I196" s="17"/>
      <c r="J196" s="68">
        <f>HLOOKUP($J$3,$E$3:$H$243,194,FALSE)</f>
        <v>923.5287485635213</v>
      </c>
      <c r="X196" s="22" t="s">
        <v>21</v>
      </c>
      <c r="Y196" s="23">
        <v>265.8999350974548</v>
      </c>
      <c r="Z196" s="24"/>
      <c r="AB196" s="24">
        <v>144.03958269683585</v>
      </c>
      <c r="AC196" s="24">
        <v>176.02678269683577</v>
      </c>
      <c r="AD196" s="24">
        <v>170.36238269683577</v>
      </c>
      <c r="AE196" s="24">
        <v>161.03278269683574</v>
      </c>
      <c r="AF196" s="17"/>
      <c r="AG196" s="68">
        <f>HLOOKUP($J$3,$AB$3:$AE$243,194,FALSE)</f>
        <v>144.03958269683585</v>
      </c>
    </row>
    <row r="197" spans="1:33" ht="15.75" customHeight="1">
      <c r="A197" s="22" t="s">
        <v>22</v>
      </c>
      <c r="B197" s="23">
        <v>265.8999350974548</v>
      </c>
      <c r="C197" s="24"/>
      <c r="E197" s="24">
        <v>727.3487096537826</v>
      </c>
      <c r="F197" s="24">
        <v>740.0763896537826</v>
      </c>
      <c r="G197" s="24">
        <v>737.8225296537826</v>
      </c>
      <c r="H197" s="24">
        <v>734.1102896537825</v>
      </c>
      <c r="I197" s="17"/>
      <c r="J197" s="68">
        <f>HLOOKUP($J$3,$E$3:$H$243,195,FALSE)</f>
        <v>727.3487096537826</v>
      </c>
      <c r="X197" s="22" t="s">
        <v>22</v>
      </c>
      <c r="Y197" s="23">
        <v>265.8999350974548</v>
      </c>
      <c r="Z197" s="24"/>
      <c r="AB197" s="24">
        <v>411.4195437870971</v>
      </c>
      <c r="AC197" s="24">
        <v>424.14722378709706</v>
      </c>
      <c r="AD197" s="24">
        <v>421.89336378709703</v>
      </c>
      <c r="AE197" s="24">
        <v>418.18112378709696</v>
      </c>
      <c r="AF197" s="17"/>
      <c r="AG197" s="68">
        <f>HLOOKUP($J$3,$AB$3:$AE$243,195,FALSE)</f>
        <v>411.4195437870971</v>
      </c>
    </row>
    <row r="198" spans="1:33" ht="15.75" customHeight="1">
      <c r="A198" s="22" t="s">
        <v>23</v>
      </c>
      <c r="B198" s="23">
        <v>265.8999350974548</v>
      </c>
      <c r="C198" s="24"/>
      <c r="E198" s="24">
        <v>985.2413807675462</v>
      </c>
      <c r="F198" s="24">
        <v>1017.2285807675462</v>
      </c>
      <c r="G198" s="24">
        <v>1011.5641807675462</v>
      </c>
      <c r="H198" s="24">
        <v>1002.2345807675463</v>
      </c>
      <c r="I198" s="17"/>
      <c r="J198" s="68">
        <f>HLOOKUP($J$3,$E$3:$H$243,196,FALSE)</f>
        <v>985.2413807675462</v>
      </c>
      <c r="X198" s="22" t="s">
        <v>23</v>
      </c>
      <c r="Y198" s="23">
        <v>265.8999350974548</v>
      </c>
      <c r="Z198" s="24"/>
      <c r="AB198" s="24">
        <v>60.15221490086071</v>
      </c>
      <c r="AC198" s="24">
        <v>92.13941490086074</v>
      </c>
      <c r="AD198" s="24">
        <v>86.47501490086074</v>
      </c>
      <c r="AE198" s="24">
        <v>77.14541490086083</v>
      </c>
      <c r="AF198" s="17"/>
      <c r="AG198" s="68">
        <f>HLOOKUP($J$3,$AB$3:$AE$243,196,FALSE)</f>
        <v>60.15221490086071</v>
      </c>
    </row>
    <row r="199" spans="1:33" ht="15.75" customHeight="1">
      <c r="A199" s="18" t="s">
        <v>24</v>
      </c>
      <c r="B199" s="13" t="s">
        <v>8</v>
      </c>
      <c r="C199" s="14" t="s">
        <v>29</v>
      </c>
      <c r="E199" s="15" t="s">
        <v>7</v>
      </c>
      <c r="F199" s="15" t="s">
        <v>7</v>
      </c>
      <c r="G199" s="15" t="s">
        <v>7</v>
      </c>
      <c r="H199" s="15" t="s">
        <v>7</v>
      </c>
      <c r="I199" s="61"/>
      <c r="J199" s="68" t="str">
        <f>HLOOKUP($J$3,$E$3:$H$243,197,FALSE)</f>
        <v>Full-time - 35 hours</v>
      </c>
      <c r="X199" s="18" t="s">
        <v>24</v>
      </c>
      <c r="Y199" s="13" t="s">
        <v>8</v>
      </c>
      <c r="Z199" s="14" t="s">
        <v>29</v>
      </c>
      <c r="AB199" s="15" t="s">
        <v>7</v>
      </c>
      <c r="AC199" s="15" t="s">
        <v>7</v>
      </c>
      <c r="AD199" s="15" t="s">
        <v>7</v>
      </c>
      <c r="AE199" s="15" t="s">
        <v>7</v>
      </c>
      <c r="AF199" s="61"/>
      <c r="AG199" s="68" t="str">
        <f>HLOOKUP($J$3,$AB$3:$AE$243,197,FALSE)</f>
        <v>Full-time - 35 hours</v>
      </c>
    </row>
    <row r="200" spans="1:33" ht="15.75" customHeight="1">
      <c r="A200" s="22" t="s">
        <v>10</v>
      </c>
      <c r="B200" s="23">
        <v>73.89554166666649</v>
      </c>
      <c r="C200" s="24">
        <v>160.22917998913465</v>
      </c>
      <c r="E200" s="24">
        <v>205.38872811693005</v>
      </c>
      <c r="F200" s="24">
        <v>232.26000000000002</v>
      </c>
      <c r="G200" s="24">
        <v>224.16799999999998</v>
      </c>
      <c r="H200" s="26">
        <v>213.07429537375</v>
      </c>
      <c r="I200" s="65"/>
      <c r="J200" s="68">
        <f>HLOOKUP($J$3,$E$3:$H$243,198,FALSE)</f>
        <v>205.38872811693005</v>
      </c>
      <c r="X200" s="22" t="s">
        <v>10</v>
      </c>
      <c r="Y200" s="23">
        <v>73.89554166666649</v>
      </c>
      <c r="Z200" s="24">
        <v>160.22917998913465</v>
      </c>
      <c r="AB200" s="24">
        <v>81.46395568103279</v>
      </c>
      <c r="AC200" s="24">
        <v>108.33522756410275</v>
      </c>
      <c r="AD200" s="24">
        <v>100.24322756410271</v>
      </c>
      <c r="AE200" s="26">
        <v>89.14952293785274</v>
      </c>
      <c r="AF200" s="65"/>
      <c r="AG200" s="68">
        <f>HLOOKUP($J$3,$AB$3:$AE$243,198,FALSE)</f>
        <v>81.46395568103279</v>
      </c>
    </row>
    <row r="201" spans="1:33" ht="15.75" customHeight="1">
      <c r="A201" s="22" t="s">
        <v>11</v>
      </c>
      <c r="B201" s="23">
        <v>84.69874493410276</v>
      </c>
      <c r="C201" s="24">
        <v>310.82228415105584</v>
      </c>
      <c r="E201" s="24">
        <v>587.8261629206713</v>
      </c>
      <c r="F201" s="24">
        <v>603.8197629206712</v>
      </c>
      <c r="G201" s="24">
        <v>600.9875629206713</v>
      </c>
      <c r="H201" s="24">
        <v>596.3227629206713</v>
      </c>
      <c r="I201" s="17"/>
      <c r="J201" s="68">
        <f>HLOOKUP($J$3,$E$3:$H$243,199,FALSE)</f>
        <v>587.8261629206713</v>
      </c>
      <c r="X201" s="22" t="s">
        <v>11</v>
      </c>
      <c r="Y201" s="23">
        <v>84.69874493410276</v>
      </c>
      <c r="Z201" s="24">
        <v>310.82228415105584</v>
      </c>
      <c r="AB201" s="24">
        <v>161.8981872173378</v>
      </c>
      <c r="AC201" s="24">
        <v>177.8917872173377</v>
      </c>
      <c r="AD201" s="24">
        <v>175.05958721733776</v>
      </c>
      <c r="AE201" s="24">
        <v>170.39478721733775</v>
      </c>
      <c r="AF201" s="17"/>
      <c r="AG201" s="68">
        <f>HLOOKUP($J$3,$AB$3:$AE$243,199,FALSE)</f>
        <v>161.8981872173378</v>
      </c>
    </row>
    <row r="202" spans="1:33" ht="15.75" customHeight="1">
      <c r="A202" s="22" t="s">
        <v>12</v>
      </c>
      <c r="B202" s="23">
        <v>73.89554166666649</v>
      </c>
      <c r="C202" s="24">
        <v>197.47173342795966</v>
      </c>
      <c r="E202" s="24"/>
      <c r="F202" s="24"/>
      <c r="G202" s="24"/>
      <c r="H202" s="24"/>
      <c r="I202" s="17"/>
      <c r="J202" s="68">
        <f>HLOOKUP($J$3,$E$3:$H$243,200,FALSE)</f>
        <v>0</v>
      </c>
      <c r="X202" s="22" t="s">
        <v>12</v>
      </c>
      <c r="Y202" s="23">
        <v>73.89554166666649</v>
      </c>
      <c r="Z202" s="24">
        <v>197.47173342795966</v>
      </c>
      <c r="AB202" s="24"/>
      <c r="AC202" s="24"/>
      <c r="AD202" s="24"/>
      <c r="AE202" s="24"/>
      <c r="AF202" s="17"/>
      <c r="AG202" s="68">
        <f>HLOOKUP($J$3,$AB$3:$AE$243,200,FALSE)</f>
        <v>0</v>
      </c>
    </row>
    <row r="203" spans="1:33" ht="15.75" customHeight="1">
      <c r="A203" s="22" t="s">
        <v>13</v>
      </c>
      <c r="B203" s="23">
        <v>84.69874493410276</v>
      </c>
      <c r="C203" s="24">
        <v>348.0648375898808</v>
      </c>
      <c r="E203" s="24"/>
      <c r="F203" s="24"/>
      <c r="G203" s="24"/>
      <c r="H203" s="24"/>
      <c r="I203" s="17"/>
      <c r="J203" s="68">
        <f>HLOOKUP($J$3,$E$3:$H$243,201,FALSE)</f>
        <v>0</v>
      </c>
      <c r="X203" s="22" t="s">
        <v>13</v>
      </c>
      <c r="Y203" s="23">
        <v>84.69874493410276</v>
      </c>
      <c r="Z203" s="24">
        <v>348.0648375898808</v>
      </c>
      <c r="AB203" s="24"/>
      <c r="AC203" s="24"/>
      <c r="AD203" s="24"/>
      <c r="AE203" s="24"/>
      <c r="AF203" s="17"/>
      <c r="AG203" s="68">
        <f>HLOOKUP($J$3,$AB$3:$AE$243,201,FALSE)</f>
        <v>0</v>
      </c>
    </row>
    <row r="204" spans="1:33" ht="15.75" customHeight="1">
      <c r="A204" s="22" t="s">
        <v>14</v>
      </c>
      <c r="B204" s="23">
        <v>73.89554166666649</v>
      </c>
      <c r="C204" s="24"/>
      <c r="E204" s="24">
        <v>250.1969116373686</v>
      </c>
      <c r="F204" s="24">
        <v>264.31384881257503</v>
      </c>
      <c r="G204" s="24">
        <v>261.48164881257503</v>
      </c>
      <c r="H204" s="24">
        <v>256.9584916373686</v>
      </c>
      <c r="I204" s="17"/>
      <c r="J204" s="68">
        <f>HLOOKUP($J$3,$E$3:$H$243,202,FALSE)</f>
        <v>250.1969116373686</v>
      </c>
      <c r="X204" s="22" t="s">
        <v>14</v>
      </c>
      <c r="Y204" s="23">
        <v>73.89554166666649</v>
      </c>
      <c r="Z204" s="24"/>
      <c r="AB204" s="24">
        <v>126.27213920147133</v>
      </c>
      <c r="AC204" s="24">
        <v>140.38907637667776</v>
      </c>
      <c r="AD204" s="24">
        <v>137.55687637667776</v>
      </c>
      <c r="AE204" s="24">
        <v>133.0337192014713</v>
      </c>
      <c r="AF204" s="17"/>
      <c r="AG204" s="68">
        <f>HLOOKUP($J$3,$AB$3:$AE$243,202,FALSE)</f>
        <v>126.27213920147133</v>
      </c>
    </row>
    <row r="205" spans="1:33" ht="15.75" customHeight="1">
      <c r="A205" s="22" t="s">
        <v>15</v>
      </c>
      <c r="B205" s="23">
        <v>73.89554166666649</v>
      </c>
      <c r="C205" s="24"/>
      <c r="E205" s="24">
        <v>373.128</v>
      </c>
      <c r="F205" s="24">
        <v>464.52000000000004</v>
      </c>
      <c r="G205" s="24">
        <v>448.33599999999996</v>
      </c>
      <c r="H205" s="24">
        <v>421.68</v>
      </c>
      <c r="I205" s="17"/>
      <c r="J205" s="68">
        <f>HLOOKUP($J$3,$E$3:$H$243,203,FALSE)</f>
        <v>373.128</v>
      </c>
      <c r="X205" s="22" t="s">
        <v>15</v>
      </c>
      <c r="Y205" s="23">
        <v>73.89554166666649</v>
      </c>
      <c r="Z205" s="24"/>
      <c r="AB205" s="24">
        <v>222.44322756410273</v>
      </c>
      <c r="AC205" s="24">
        <v>313.83522756410275</v>
      </c>
      <c r="AD205" s="24">
        <v>297.65122756410267</v>
      </c>
      <c r="AE205" s="24">
        <v>270.9952275641027</v>
      </c>
      <c r="AF205" s="17"/>
      <c r="AG205" s="68">
        <f>HLOOKUP($J$3,$AB$3:$AE$243,203,FALSE)</f>
        <v>222.44322756410273</v>
      </c>
    </row>
    <row r="206" spans="1:33" ht="15.75" customHeight="1">
      <c r="A206" s="22" t="s">
        <v>16</v>
      </c>
      <c r="B206" s="23">
        <v>84.69874493410276</v>
      </c>
      <c r="C206" s="24"/>
      <c r="E206" s="24">
        <v>415.6099056577798</v>
      </c>
      <c r="F206" s="24">
        <v>428.33758565777975</v>
      </c>
      <c r="G206" s="24">
        <v>426.0837256577797</v>
      </c>
      <c r="H206" s="24">
        <v>422.3714856577798</v>
      </c>
      <c r="I206" s="17"/>
      <c r="J206" s="68">
        <f>HLOOKUP($J$3,$E$3:$H$243,204,FALSE)</f>
        <v>415.6099056577798</v>
      </c>
      <c r="X206" s="22" t="s">
        <v>16</v>
      </c>
      <c r="Y206" s="23">
        <v>84.69874493410276</v>
      </c>
      <c r="Z206" s="24"/>
      <c r="AB206" s="24">
        <v>280.88192995444626</v>
      </c>
      <c r="AC206" s="24">
        <v>293.6096099544462</v>
      </c>
      <c r="AD206" s="24">
        <v>291.3557499544462</v>
      </c>
      <c r="AE206" s="24">
        <v>287.64350995444624</v>
      </c>
      <c r="AF206" s="17"/>
      <c r="AG206" s="68">
        <f>HLOOKUP($J$3,$AB$3:$AE$243,204,FALSE)</f>
        <v>280.88192995444626</v>
      </c>
    </row>
    <row r="207" spans="1:33" ht="15.75" customHeight="1">
      <c r="A207" s="22" t="s">
        <v>17</v>
      </c>
      <c r="B207" s="23">
        <v>84.69874493410276</v>
      </c>
      <c r="C207" s="24"/>
      <c r="E207" s="24">
        <v>677.3661163594962</v>
      </c>
      <c r="F207" s="24">
        <v>709.3533163594961</v>
      </c>
      <c r="G207" s="24">
        <v>703.6889163594963</v>
      </c>
      <c r="H207" s="24">
        <v>694.3593163594962</v>
      </c>
      <c r="I207" s="17"/>
      <c r="J207" s="68">
        <f>HLOOKUP($J$3,$E$3:$H$243,205,FALSE)</f>
        <v>677.3661163594962</v>
      </c>
      <c r="X207" s="22" t="s">
        <v>17</v>
      </c>
      <c r="Y207" s="23">
        <v>84.69874493410276</v>
      </c>
      <c r="Z207" s="24"/>
      <c r="AB207" s="24">
        <v>224.67814065616273</v>
      </c>
      <c r="AC207" s="24">
        <v>256.66534065616264</v>
      </c>
      <c r="AD207" s="24">
        <v>251.00094065616275</v>
      </c>
      <c r="AE207" s="24">
        <v>241.67134065616273</v>
      </c>
      <c r="AF207" s="17"/>
      <c r="AG207" s="68">
        <f>HLOOKUP($J$3,$AB$3:$AE$243,205,FALSE)</f>
        <v>224.67814065616273</v>
      </c>
    </row>
    <row r="208" spans="1:33" ht="15.75" customHeight="1">
      <c r="A208" s="22" t="s">
        <v>18</v>
      </c>
      <c r="B208" s="23">
        <v>98.21647328478267</v>
      </c>
      <c r="C208" s="24"/>
      <c r="E208" s="24">
        <v>429.1299056577798</v>
      </c>
      <c r="F208" s="24">
        <v>441.85758565777974</v>
      </c>
      <c r="G208" s="24">
        <v>439.6037256577798</v>
      </c>
      <c r="H208" s="24">
        <v>435.8914856577798</v>
      </c>
      <c r="I208" s="17"/>
      <c r="J208" s="68">
        <f>HLOOKUP($J$3,$E$3:$H$243,206,FALSE)</f>
        <v>429.1299056577798</v>
      </c>
      <c r="X208" s="22" t="s">
        <v>18</v>
      </c>
      <c r="Y208" s="23">
        <v>98.21647328478267</v>
      </c>
      <c r="Z208" s="24"/>
      <c r="AB208" s="24">
        <v>280.8842016037663</v>
      </c>
      <c r="AC208" s="24">
        <v>293.6118816037663</v>
      </c>
      <c r="AD208" s="24">
        <v>291.35802160376636</v>
      </c>
      <c r="AE208" s="24">
        <v>287.6457816037664</v>
      </c>
      <c r="AF208" s="17"/>
      <c r="AG208" s="68">
        <f>HLOOKUP($J$3,$AB$3:$AE$243,206,FALSE)</f>
        <v>280.8842016037663</v>
      </c>
    </row>
    <row r="209" spans="1:33" ht="15.75" customHeight="1">
      <c r="A209" s="22" t="s">
        <v>19</v>
      </c>
      <c r="B209" s="23">
        <v>98.21647328478267</v>
      </c>
      <c r="C209" s="24"/>
      <c r="E209" s="24">
        <v>690.8861163594962</v>
      </c>
      <c r="F209" s="24">
        <v>722.8733163594961</v>
      </c>
      <c r="G209" s="24">
        <v>717.2089163594962</v>
      </c>
      <c r="H209" s="24">
        <v>707.8793163594962</v>
      </c>
      <c r="I209" s="17"/>
      <c r="J209" s="68">
        <f>HLOOKUP($J$3,$E$3:$H$243,207,FALSE)</f>
        <v>690.8861163594962</v>
      </c>
      <c r="X209" s="22" t="s">
        <v>19</v>
      </c>
      <c r="Y209" s="23">
        <v>98.21647328478267</v>
      </c>
      <c r="Z209" s="24"/>
      <c r="AB209" s="24">
        <v>224.68041230548278</v>
      </c>
      <c r="AC209" s="24">
        <v>256.6676123054827</v>
      </c>
      <c r="AD209" s="24">
        <v>251.0032123054828</v>
      </c>
      <c r="AE209" s="24">
        <v>241.67361230548278</v>
      </c>
      <c r="AF209" s="17"/>
      <c r="AG209" s="68">
        <f>HLOOKUP($J$3,$AB$3:$AE$243,207,FALSE)</f>
        <v>224.68041230548278</v>
      </c>
    </row>
    <row r="210" spans="1:33" ht="15.75" customHeight="1">
      <c r="A210" s="22" t="s">
        <v>20</v>
      </c>
      <c r="B210" s="23">
        <v>98.21647328478267</v>
      </c>
      <c r="C210" s="24"/>
      <c r="E210" s="24">
        <v>496.02430765578123</v>
      </c>
      <c r="F210" s="24">
        <v>508.75198765578125</v>
      </c>
      <c r="G210" s="24">
        <v>506.49812765578116</v>
      </c>
      <c r="H210" s="24">
        <v>502.7858876557812</v>
      </c>
      <c r="I210" s="17"/>
      <c r="J210" s="68">
        <f>HLOOKUP($J$3,$E$3:$H$243,208,FALSE)</f>
        <v>496.02430765578123</v>
      </c>
      <c r="X210" s="22" t="s">
        <v>20</v>
      </c>
      <c r="Y210" s="23">
        <v>98.21647328478267</v>
      </c>
      <c r="Z210" s="24"/>
      <c r="AB210" s="24">
        <v>347.7786036017678</v>
      </c>
      <c r="AC210" s="24">
        <v>360.5062836017678</v>
      </c>
      <c r="AD210" s="24">
        <v>358.25242360176776</v>
      </c>
      <c r="AE210" s="24">
        <v>354.5401836017678</v>
      </c>
      <c r="AF210" s="17"/>
      <c r="AG210" s="68">
        <f>HLOOKUP($J$3,$AB$3:$AE$243,208,FALSE)</f>
        <v>347.7786036017678</v>
      </c>
    </row>
    <row r="211" spans="1:33" ht="15.75" customHeight="1">
      <c r="A211" s="22" t="s">
        <v>21</v>
      </c>
      <c r="B211" s="23">
        <v>98.21647328478267</v>
      </c>
      <c r="C211" s="24"/>
      <c r="E211" s="24">
        <v>755.8487485635212</v>
      </c>
      <c r="F211" s="24">
        <v>787.8359485635212</v>
      </c>
      <c r="G211" s="24">
        <v>782.1715485635212</v>
      </c>
      <c r="H211" s="24">
        <v>772.8419485635213</v>
      </c>
      <c r="I211" s="17"/>
      <c r="J211" s="68">
        <f>HLOOKUP($J$3,$E$3:$H$243,209,FALSE)</f>
        <v>755.8487485635212</v>
      </c>
      <c r="X211" s="22" t="s">
        <v>21</v>
      </c>
      <c r="Y211" s="23">
        <v>98.21647328478267</v>
      </c>
      <c r="Z211" s="24"/>
      <c r="AB211" s="24">
        <v>144.0430445095078</v>
      </c>
      <c r="AC211" s="24">
        <v>176.03024450950784</v>
      </c>
      <c r="AD211" s="24">
        <v>170.36584450950784</v>
      </c>
      <c r="AE211" s="24">
        <v>161.03624450950792</v>
      </c>
      <c r="AF211" s="17"/>
      <c r="AG211" s="68">
        <f>HLOOKUP($J$3,$AB$3:$AE$243,209,FALSE)</f>
        <v>144.0430445095078</v>
      </c>
    </row>
    <row r="212" spans="1:33" ht="15.75" customHeight="1">
      <c r="A212" s="22" t="s">
        <v>22</v>
      </c>
      <c r="B212" s="23">
        <v>98.21647328478267</v>
      </c>
      <c r="C212" s="24"/>
      <c r="E212" s="24">
        <v>559.6687096537826</v>
      </c>
      <c r="F212" s="24">
        <v>572.3963896537825</v>
      </c>
      <c r="G212" s="24">
        <v>570.1425296537826</v>
      </c>
      <c r="H212" s="24">
        <v>566.4302896537827</v>
      </c>
      <c r="I212" s="17"/>
      <c r="J212" s="68">
        <f>HLOOKUP($J$3,$E$3:$H$243,210,FALSE)</f>
        <v>559.6687096537826</v>
      </c>
      <c r="X212" s="22" t="s">
        <v>22</v>
      </c>
      <c r="Y212" s="23">
        <v>98.21647328478267</v>
      </c>
      <c r="Z212" s="24"/>
      <c r="AB212" s="24">
        <v>411.4230055997691</v>
      </c>
      <c r="AC212" s="24">
        <v>424.1506855997691</v>
      </c>
      <c r="AD212" s="24">
        <v>421.89682559976916</v>
      </c>
      <c r="AE212" s="24">
        <v>418.1845855997692</v>
      </c>
      <c r="AF212" s="17"/>
      <c r="AG212" s="68">
        <f>HLOOKUP($J$3,$AB$3:$AE$243,210,FALSE)</f>
        <v>411.4230055997691</v>
      </c>
    </row>
    <row r="213" spans="1:33" ht="15.75" customHeight="1">
      <c r="A213" s="22" t="s">
        <v>23</v>
      </c>
      <c r="B213" s="23">
        <v>98.21647328478267</v>
      </c>
      <c r="C213" s="24"/>
      <c r="E213" s="24">
        <v>817.5613807675463</v>
      </c>
      <c r="F213" s="24">
        <v>849.5485807675461</v>
      </c>
      <c r="G213" s="24">
        <v>843.8841807675462</v>
      </c>
      <c r="H213" s="24">
        <v>834.5545807675462</v>
      </c>
      <c r="I213" s="17"/>
      <c r="J213" s="68">
        <f>HLOOKUP($J$3,$E$3:$H$243,211,FALSE)</f>
        <v>817.5613807675463</v>
      </c>
      <c r="X213" s="22" t="s">
        <v>23</v>
      </c>
      <c r="Y213" s="23">
        <v>98.21647328478267</v>
      </c>
      <c r="Z213" s="24"/>
      <c r="AB213" s="24">
        <v>60.15567671353301</v>
      </c>
      <c r="AC213" s="24">
        <v>92.14287671353281</v>
      </c>
      <c r="AD213" s="24">
        <v>86.47847671353293</v>
      </c>
      <c r="AE213" s="24">
        <v>77.1488767135329</v>
      </c>
      <c r="AF213" s="17"/>
      <c r="AG213" s="68">
        <f>HLOOKUP($J$3,$AB$3:$AE$243,211,FALSE)</f>
        <v>60.15567671353301</v>
      </c>
    </row>
    <row r="214" spans="1:33" ht="15.75" customHeight="1">
      <c r="A214" s="18" t="s">
        <v>25</v>
      </c>
      <c r="B214" s="13" t="s">
        <v>8</v>
      </c>
      <c r="C214" s="14" t="s">
        <v>29</v>
      </c>
      <c r="E214" s="15" t="s">
        <v>7</v>
      </c>
      <c r="F214" s="15" t="s">
        <v>7</v>
      </c>
      <c r="G214" s="15" t="s">
        <v>7</v>
      </c>
      <c r="H214" s="15" t="s">
        <v>7</v>
      </c>
      <c r="I214" s="61"/>
      <c r="J214" s="68" t="str">
        <f>HLOOKUP($J$3,$E$3:$H$243,212,FALSE)</f>
        <v>Full-time - 35 hours</v>
      </c>
      <c r="X214" s="18" t="s">
        <v>25</v>
      </c>
      <c r="Y214" s="13" t="s">
        <v>8</v>
      </c>
      <c r="Z214" s="14" t="s">
        <v>29</v>
      </c>
      <c r="AB214" s="15" t="s">
        <v>7</v>
      </c>
      <c r="AC214" s="15" t="s">
        <v>7</v>
      </c>
      <c r="AD214" s="15" t="s">
        <v>7</v>
      </c>
      <c r="AE214" s="15" t="s">
        <v>7</v>
      </c>
      <c r="AF214" s="61"/>
      <c r="AG214" s="68" t="str">
        <f>HLOOKUP($J$3,$AB$3:$AE$243,212,FALSE)</f>
        <v>Full-time - 35 hours</v>
      </c>
    </row>
    <row r="215" spans="1:33" ht="15.75" customHeight="1">
      <c r="A215" s="27" t="s">
        <v>10</v>
      </c>
      <c r="B215" s="23">
        <v>127.2225586275902</v>
      </c>
      <c r="C215" s="24">
        <v>213.27433383528847</v>
      </c>
      <c r="E215" s="24">
        <v>258.43463496624514</v>
      </c>
      <c r="F215" s="24">
        <v>273.89129537375004</v>
      </c>
      <c r="G215" s="24">
        <v>271.05909537375</v>
      </c>
      <c r="H215" s="24">
        <v>266.39429537374997</v>
      </c>
      <c r="I215" s="17"/>
      <c r="J215" s="68">
        <f>HLOOKUP($J$3,$E$3:$H$243,213,FALSE)</f>
        <v>258.43463496624514</v>
      </c>
      <c r="X215" s="27" t="s">
        <v>10</v>
      </c>
      <c r="Y215" s="23">
        <v>127.2225586275902</v>
      </c>
      <c r="Z215" s="24">
        <v>213.27433383528847</v>
      </c>
      <c r="AB215" s="24">
        <v>91.4713071078857</v>
      </c>
      <c r="AC215" s="24">
        <v>106.9279675153906</v>
      </c>
      <c r="AD215" s="24">
        <v>104.09576751539055</v>
      </c>
      <c r="AE215" s="24">
        <v>99.43096751539053</v>
      </c>
      <c r="AF215" s="17"/>
      <c r="AG215" s="68">
        <f>HLOOKUP($J$3,$AB$3:$AE$243,213,FALSE)</f>
        <v>91.4713071078857</v>
      </c>
    </row>
    <row r="216" spans="1:33" ht="15.75" customHeight="1">
      <c r="A216" s="27" t="s">
        <v>11</v>
      </c>
      <c r="B216" s="23">
        <v>146.7261021760684</v>
      </c>
      <c r="C216" s="25">
        <v>372.57743799720964</v>
      </c>
      <c r="E216" s="24">
        <v>609.1307995356713</v>
      </c>
      <c r="F216" s="24">
        <v>625.1243995356712</v>
      </c>
      <c r="G216" s="24">
        <v>622.2921995356712</v>
      </c>
      <c r="H216" s="24">
        <v>617.6273995356712</v>
      </c>
      <c r="I216" s="17"/>
      <c r="J216" s="68">
        <f>HLOOKUP($J$3,$E$3:$H$243,214,FALSE)</f>
        <v>609.1307995356713</v>
      </c>
      <c r="X216" s="27" t="s">
        <v>11</v>
      </c>
      <c r="Y216" s="23">
        <v>146.7261021760684</v>
      </c>
      <c r="Z216" s="25">
        <v>372.57743799720964</v>
      </c>
      <c r="AB216" s="24">
        <v>190.2639281288337</v>
      </c>
      <c r="AC216" s="24">
        <v>206.2575281288336</v>
      </c>
      <c r="AD216" s="24">
        <v>203.42532812883366</v>
      </c>
      <c r="AE216" s="24">
        <v>198.76052812883364</v>
      </c>
      <c r="AF216" s="17"/>
      <c r="AG216" s="68">
        <f>HLOOKUP($J$3,$AB$3:$AE$243,214,FALSE)</f>
        <v>190.2639281288337</v>
      </c>
    </row>
    <row r="217" spans="1:33" ht="15.75" customHeight="1">
      <c r="A217" s="27" t="s">
        <v>12</v>
      </c>
      <c r="B217" s="23">
        <v>127.2225586275902</v>
      </c>
      <c r="C217" s="24">
        <v>250.5168872741135</v>
      </c>
      <c r="E217" s="24"/>
      <c r="F217" s="24"/>
      <c r="G217" s="24"/>
      <c r="H217" s="24"/>
      <c r="I217" s="17"/>
      <c r="J217" s="68">
        <f>HLOOKUP($J$3,$E$3:$H$243,215,FALSE)</f>
        <v>0</v>
      </c>
      <c r="X217" s="27" t="s">
        <v>12</v>
      </c>
      <c r="Y217" s="23">
        <v>127.2225586275902</v>
      </c>
      <c r="Z217" s="24">
        <v>250.5168872741135</v>
      </c>
      <c r="AB217" s="24"/>
      <c r="AC217" s="24"/>
      <c r="AD217" s="24"/>
      <c r="AE217" s="24"/>
      <c r="AF217" s="17"/>
      <c r="AG217" s="68">
        <f>HLOOKUP($J$3,$AB$3:$AE$243,215,FALSE)</f>
        <v>0</v>
      </c>
    </row>
    <row r="218" spans="1:33" ht="15.75" customHeight="1">
      <c r="A218" s="27" t="s">
        <v>13</v>
      </c>
      <c r="B218" s="23">
        <v>146.7261021760684</v>
      </c>
      <c r="C218" s="24">
        <v>409.8199914360347</v>
      </c>
      <c r="E218" s="24"/>
      <c r="F218" s="24"/>
      <c r="G218" s="24"/>
      <c r="H218" s="24"/>
      <c r="I218" s="17"/>
      <c r="J218" s="68">
        <f>HLOOKUP($J$3,$E$3:$H$243,216,FALSE)</f>
        <v>0</v>
      </c>
      <c r="X218" s="27" t="s">
        <v>13</v>
      </c>
      <c r="Y218" s="23">
        <v>146.7261021760684</v>
      </c>
      <c r="Z218" s="24">
        <v>409.8199914360347</v>
      </c>
      <c r="AB218" s="24"/>
      <c r="AC218" s="24"/>
      <c r="AD218" s="24"/>
      <c r="AE218" s="24"/>
      <c r="AF218" s="17"/>
      <c r="AG218" s="68">
        <f>HLOOKUP($J$3,$AB$3:$AE$243,216,FALSE)</f>
        <v>0</v>
      </c>
    </row>
    <row r="219" spans="1:33" ht="15.75" customHeight="1">
      <c r="A219" s="27" t="s">
        <v>14</v>
      </c>
      <c r="B219" s="23">
        <v>127.2225586275902</v>
      </c>
      <c r="C219" s="24"/>
      <c r="E219" s="24">
        <v>303.24281848668363</v>
      </c>
      <c r="F219" s="24">
        <v>317.633848812575</v>
      </c>
      <c r="G219" s="24">
        <v>314.801648812575</v>
      </c>
      <c r="H219" s="24">
        <v>310.136848812575</v>
      </c>
      <c r="I219" s="17"/>
      <c r="J219" s="68">
        <f>HLOOKUP($J$3,$E$3:$H$243,217,FALSE)</f>
        <v>303.24281848668363</v>
      </c>
      <c r="X219" s="27" t="s">
        <v>14</v>
      </c>
      <c r="Y219" s="23">
        <v>127.2225586275902</v>
      </c>
      <c r="Z219" s="24"/>
      <c r="AB219" s="24">
        <v>136.2794906283242</v>
      </c>
      <c r="AC219" s="24">
        <v>150.6705209542156</v>
      </c>
      <c r="AD219" s="24">
        <v>147.8383209542156</v>
      </c>
      <c r="AE219" s="24">
        <v>143.17352095421558</v>
      </c>
      <c r="AF219" s="17"/>
      <c r="AG219" s="68">
        <f>HLOOKUP($J$3,$AB$3:$AE$243,217,FALSE)</f>
        <v>136.2794906283242</v>
      </c>
    </row>
    <row r="220" spans="1:33" ht="15.75" customHeight="1">
      <c r="A220" s="27" t="s">
        <v>15</v>
      </c>
      <c r="B220" s="23">
        <v>127.2225586275902</v>
      </c>
      <c r="C220" s="24"/>
      <c r="E220" s="24">
        <v>373.128</v>
      </c>
      <c r="F220" s="24">
        <v>464.52000000000004</v>
      </c>
      <c r="G220" s="24">
        <v>448.33599999999996</v>
      </c>
      <c r="H220" s="24">
        <v>421.68</v>
      </c>
      <c r="I220" s="17"/>
      <c r="J220" s="68">
        <f>HLOOKUP($J$3,$E$3:$H$243,218,FALSE)</f>
        <v>373.128</v>
      </c>
      <c r="X220" s="27" t="s">
        <v>15</v>
      </c>
      <c r="Y220" s="23">
        <v>127.2225586275902</v>
      </c>
      <c r="Z220" s="24"/>
      <c r="AB220" s="24">
        <v>189.40467214164056</v>
      </c>
      <c r="AC220" s="24">
        <v>280.7966721416406</v>
      </c>
      <c r="AD220" s="24">
        <v>264.61267214164053</v>
      </c>
      <c r="AE220" s="24">
        <v>237.95667214164058</v>
      </c>
      <c r="AF220" s="17"/>
      <c r="AG220" s="68">
        <f>HLOOKUP($J$3,$AB$3:$AE$243,218,FALSE)</f>
        <v>189.40467214164056</v>
      </c>
    </row>
    <row r="221" spans="1:33" ht="15.75" customHeight="1">
      <c r="A221" s="27" t="s">
        <v>16</v>
      </c>
      <c r="B221" s="23">
        <v>146.7261021760684</v>
      </c>
      <c r="C221" s="24"/>
      <c r="E221" s="24">
        <v>477.36581250709486</v>
      </c>
      <c r="F221" s="24">
        <v>490.0934925070949</v>
      </c>
      <c r="G221" s="24">
        <v>487.83963250709485</v>
      </c>
      <c r="H221" s="24">
        <v>484.1273925070949</v>
      </c>
      <c r="I221" s="17"/>
      <c r="J221" s="68">
        <f>HLOOKUP($J$3,$E$3:$H$243,219,FALSE)</f>
        <v>477.36581250709486</v>
      </c>
      <c r="X221" s="27" t="s">
        <v>16</v>
      </c>
      <c r="Y221" s="23">
        <v>146.7261021760684</v>
      </c>
      <c r="Z221" s="24"/>
      <c r="AB221" s="24">
        <v>290.8989411002573</v>
      </c>
      <c r="AC221" s="24">
        <v>303.62662110025724</v>
      </c>
      <c r="AD221" s="24">
        <v>301.3727611002572</v>
      </c>
      <c r="AE221" s="24">
        <v>297.66052110025726</v>
      </c>
      <c r="AF221" s="17"/>
      <c r="AG221" s="68">
        <f>HLOOKUP($J$3,$AB$3:$AE$243,219,FALSE)</f>
        <v>290.8989411002573</v>
      </c>
    </row>
    <row r="222" spans="1:33" ht="15.75" customHeight="1">
      <c r="A222" s="27" t="s">
        <v>17</v>
      </c>
      <c r="B222" s="23">
        <v>146.7261021760684</v>
      </c>
      <c r="C222" s="24"/>
      <c r="E222" s="24">
        <v>698.6707529744962</v>
      </c>
      <c r="F222" s="24">
        <v>730.6579529744961</v>
      </c>
      <c r="G222" s="24">
        <v>724.9935529744962</v>
      </c>
      <c r="H222" s="24">
        <v>715.6639529744962</v>
      </c>
      <c r="I222" s="17"/>
      <c r="J222" s="68">
        <f>HLOOKUP($J$3,$E$3:$H$243,220,FALSE)</f>
        <v>698.6707529744962</v>
      </c>
      <c r="X222" s="27" t="s">
        <v>17</v>
      </c>
      <c r="Y222" s="23">
        <v>146.7261021760684</v>
      </c>
      <c r="Z222" s="24"/>
      <c r="AB222" s="24">
        <v>263.0438815676586</v>
      </c>
      <c r="AC222" s="24">
        <v>295.03108156765853</v>
      </c>
      <c r="AD222" s="24">
        <v>289.36668156765865</v>
      </c>
      <c r="AE222" s="24">
        <v>280.0370815676586</v>
      </c>
      <c r="AF222" s="17"/>
      <c r="AG222" s="68">
        <f>HLOOKUP($J$3,$AB$3:$AE$243,220,FALSE)</f>
        <v>263.0438815676586</v>
      </c>
    </row>
    <row r="223" spans="1:33" ht="15.75" customHeight="1">
      <c r="A223" s="27" t="s">
        <v>18</v>
      </c>
      <c r="B223" s="23">
        <v>164.5548639965686</v>
      </c>
      <c r="C223" s="24"/>
      <c r="E223" s="24">
        <v>495.18581250709485</v>
      </c>
      <c r="F223" s="24">
        <v>507.9134925070948</v>
      </c>
      <c r="G223" s="24">
        <v>505.6596325070949</v>
      </c>
      <c r="H223" s="24">
        <v>501.94739250709483</v>
      </c>
      <c r="I223" s="17"/>
      <c r="J223" s="68">
        <f>HLOOKUP($J$3,$E$3:$H$243,221,FALSE)</f>
        <v>495.18581250709485</v>
      </c>
      <c r="X223" s="27" t="s">
        <v>18</v>
      </c>
      <c r="Y223" s="23">
        <v>164.5548639965686</v>
      </c>
      <c r="Z223" s="24"/>
      <c r="AB223" s="24">
        <v>290.89017927975704</v>
      </c>
      <c r="AC223" s="24">
        <v>303.617859279757</v>
      </c>
      <c r="AD223" s="24">
        <v>301.3639992797571</v>
      </c>
      <c r="AE223" s="24">
        <v>297.651759279757</v>
      </c>
      <c r="AF223" s="17"/>
      <c r="AG223" s="68">
        <f>HLOOKUP($J$3,$AB$3:$AE$243,221,FALSE)</f>
        <v>290.89017927975704</v>
      </c>
    </row>
    <row r="224" spans="1:33" ht="15.75" customHeight="1">
      <c r="A224" s="27" t="s">
        <v>19</v>
      </c>
      <c r="B224" s="23">
        <v>164.5548639965686</v>
      </c>
      <c r="C224" s="24"/>
      <c r="E224" s="24">
        <v>716.4907529744962</v>
      </c>
      <c r="F224" s="24">
        <v>748.4779529744962</v>
      </c>
      <c r="G224" s="24">
        <v>742.8135529744961</v>
      </c>
      <c r="H224" s="24">
        <v>733.4839529744961</v>
      </c>
      <c r="I224" s="17"/>
      <c r="J224" s="68">
        <f>HLOOKUP($J$3,$E$3:$H$243,222,FALSE)</f>
        <v>716.4907529744962</v>
      </c>
      <c r="X224" s="27" t="s">
        <v>19</v>
      </c>
      <c r="Y224" s="23">
        <v>164.5548639965686</v>
      </c>
      <c r="Z224" s="24"/>
      <c r="AB224" s="24">
        <v>263.03511974715843</v>
      </c>
      <c r="AC224" s="24">
        <v>295.02231974715846</v>
      </c>
      <c r="AD224" s="24">
        <v>289.35791974715835</v>
      </c>
      <c r="AE224" s="24">
        <v>280.0283197471583</v>
      </c>
      <c r="AF224" s="17"/>
      <c r="AG224" s="68">
        <f>HLOOKUP($J$3,$AB$3:$AE$243,222,FALSE)</f>
        <v>263.03511974715843</v>
      </c>
    </row>
    <row r="225" spans="1:33" ht="15.75" customHeight="1">
      <c r="A225" s="27" t="s">
        <v>20</v>
      </c>
      <c r="B225" s="23">
        <v>164.5548639965686</v>
      </c>
      <c r="C225" s="24"/>
      <c r="E225" s="24">
        <v>562.0802145050963</v>
      </c>
      <c r="F225" s="24">
        <v>574.8078945050963</v>
      </c>
      <c r="G225" s="24">
        <v>572.5540345050963</v>
      </c>
      <c r="H225" s="24">
        <v>568.8417945050962</v>
      </c>
      <c r="I225" s="17"/>
      <c r="J225" s="68">
        <f>HLOOKUP($J$3,$E$3:$H$243,223,FALSE)</f>
        <v>562.0802145050963</v>
      </c>
      <c r="X225" s="27" t="s">
        <v>20</v>
      </c>
      <c r="Y225" s="23">
        <v>164.5548639965686</v>
      </c>
      <c r="Z225" s="24"/>
      <c r="AB225" s="24">
        <v>357.78458127775843</v>
      </c>
      <c r="AC225" s="24">
        <v>370.5122612777585</v>
      </c>
      <c r="AD225" s="24">
        <v>368.2584012777585</v>
      </c>
      <c r="AE225" s="24">
        <v>364.5461612777584</v>
      </c>
      <c r="AF225" s="17"/>
      <c r="AG225" s="68">
        <f>HLOOKUP($J$3,$AB$3:$AE$243,223,FALSE)</f>
        <v>357.78458127775843</v>
      </c>
    </row>
    <row r="226" spans="1:33" ht="15.75" customHeight="1">
      <c r="A226" s="27" t="s">
        <v>21</v>
      </c>
      <c r="B226" s="23">
        <v>164.5548639965686</v>
      </c>
      <c r="C226" s="24"/>
      <c r="E226" s="24">
        <v>822.1787485635214</v>
      </c>
      <c r="F226" s="24">
        <v>854.1659485635213</v>
      </c>
      <c r="G226" s="24">
        <v>848.5015485635213</v>
      </c>
      <c r="H226" s="24">
        <v>839.1719485635213</v>
      </c>
      <c r="I226" s="17"/>
      <c r="J226" s="68">
        <f>HLOOKUP($J$3,$E$3:$H$243,224,FALSE)</f>
        <v>822.1787485635214</v>
      </c>
      <c r="X226" s="27" t="s">
        <v>21</v>
      </c>
      <c r="Y226" s="23">
        <v>164.5548639965686</v>
      </c>
      <c r="Z226" s="24"/>
      <c r="AB226" s="24">
        <v>252.52311533618354</v>
      </c>
      <c r="AC226" s="24">
        <v>284.51031533618345</v>
      </c>
      <c r="AD226" s="24">
        <v>278.84591533618345</v>
      </c>
      <c r="AE226" s="24">
        <v>269.5163153361834</v>
      </c>
      <c r="AF226" s="17"/>
      <c r="AG226" s="68">
        <f>HLOOKUP($J$3,$AB$3:$AE$243,224,FALSE)</f>
        <v>252.52311533618354</v>
      </c>
    </row>
    <row r="227" spans="1:33" ht="15.75" customHeight="1">
      <c r="A227" s="27" t="s">
        <v>22</v>
      </c>
      <c r="B227" s="23">
        <v>164.5548639965686</v>
      </c>
      <c r="C227" s="24"/>
      <c r="E227" s="24">
        <v>625.7246165030976</v>
      </c>
      <c r="F227" s="24">
        <v>638.4522965030977</v>
      </c>
      <c r="G227" s="24">
        <v>636.1984365030976</v>
      </c>
      <c r="H227" s="24">
        <v>632.4861965030977</v>
      </c>
      <c r="I227" s="17"/>
      <c r="J227" s="68">
        <f>HLOOKUP($J$3,$E$3:$H$243,225,FALSE)</f>
        <v>625.7246165030976</v>
      </c>
      <c r="X227" s="27" t="s">
        <v>22</v>
      </c>
      <c r="Y227" s="23">
        <v>164.5548639965686</v>
      </c>
      <c r="Z227" s="24"/>
      <c r="AB227" s="24">
        <v>421.42898327575983</v>
      </c>
      <c r="AC227" s="24">
        <v>434.1566632757599</v>
      </c>
      <c r="AD227" s="24">
        <v>431.90280327575977</v>
      </c>
      <c r="AE227" s="24">
        <v>428.1905632757599</v>
      </c>
      <c r="AF227" s="17"/>
      <c r="AG227" s="68">
        <f>HLOOKUP($J$3,$AB$3:$AE$243,225,FALSE)</f>
        <v>421.42898327575983</v>
      </c>
    </row>
    <row r="228" spans="1:33" ht="15.75" customHeight="1">
      <c r="A228" s="27" t="s">
        <v>23</v>
      </c>
      <c r="B228" s="23">
        <v>164.5548639965686</v>
      </c>
      <c r="C228" s="24"/>
      <c r="E228" s="24">
        <v>883.8913807675463</v>
      </c>
      <c r="F228" s="24">
        <v>915.8785807675463</v>
      </c>
      <c r="G228" s="24">
        <v>910.2141807675463</v>
      </c>
      <c r="H228" s="24">
        <v>900.8845807675464</v>
      </c>
      <c r="I228" s="17"/>
      <c r="J228" s="68">
        <f>HLOOKUP($J$3,$E$3:$H$243,226,FALSE)</f>
        <v>883.8913807675463</v>
      </c>
      <c r="X228" s="27" t="s">
        <v>23</v>
      </c>
      <c r="Y228" s="23">
        <v>164.5548639965686</v>
      </c>
      <c r="Z228" s="24"/>
      <c r="AB228" s="24">
        <v>198.03574754020838</v>
      </c>
      <c r="AC228" s="24">
        <v>230.0229475402084</v>
      </c>
      <c r="AD228" s="24">
        <v>224.3585475402084</v>
      </c>
      <c r="AE228" s="24">
        <v>215.0289475402085</v>
      </c>
      <c r="AF228" s="17"/>
      <c r="AG228" s="68">
        <f>HLOOKUP($J$3,$AB$3:$AE$243,226,FALSE)</f>
        <v>198.03574754020838</v>
      </c>
    </row>
    <row r="229" spans="1:33" ht="15.75" customHeight="1">
      <c r="A229" s="18" t="s">
        <v>26</v>
      </c>
      <c r="B229" s="13" t="s">
        <v>8</v>
      </c>
      <c r="C229" s="14" t="s">
        <v>29</v>
      </c>
      <c r="E229" s="15" t="s">
        <v>7</v>
      </c>
      <c r="F229" s="15" t="s">
        <v>7</v>
      </c>
      <c r="G229" s="15" t="s">
        <v>7</v>
      </c>
      <c r="H229" s="15" t="s">
        <v>7</v>
      </c>
      <c r="I229" s="61"/>
      <c r="J229" s="68" t="str">
        <f>HLOOKUP($J$3,$E$3:$H$243,227,FALSE)</f>
        <v>Full-time - 35 hours</v>
      </c>
      <c r="X229" s="18" t="s">
        <v>26</v>
      </c>
      <c r="Y229" s="13" t="s">
        <v>8</v>
      </c>
      <c r="Z229" s="14" t="s">
        <v>29</v>
      </c>
      <c r="AB229" s="15" t="s">
        <v>7</v>
      </c>
      <c r="AC229" s="15" t="s">
        <v>7</v>
      </c>
      <c r="AD229" s="15" t="s">
        <v>7</v>
      </c>
      <c r="AE229" s="15" t="s">
        <v>7</v>
      </c>
      <c r="AF229" s="61"/>
      <c r="AG229" s="68" t="str">
        <f>HLOOKUP($J$3,$AB$3:$AE$243,227,FALSE)</f>
        <v>Full-time - 35 hours</v>
      </c>
    </row>
    <row r="230" spans="1:33" ht="15.75" customHeight="1">
      <c r="A230" s="22" t="s">
        <v>10</v>
      </c>
      <c r="B230" s="23">
        <v>59.1539719860898</v>
      </c>
      <c r="C230" s="24">
        <v>145.20433383528848</v>
      </c>
      <c r="E230" s="24">
        <v>190.36463496624515</v>
      </c>
      <c r="F230" s="24">
        <v>232.26000000000002</v>
      </c>
      <c r="G230" s="24">
        <v>224.16799999999998</v>
      </c>
      <c r="H230" s="24">
        <v>210.84</v>
      </c>
      <c r="I230" s="17"/>
      <c r="J230" s="68">
        <f>HLOOKUP($J$3,$E$3:$H$243,228,FALSE)</f>
        <v>190.36463496624515</v>
      </c>
      <c r="X230" s="22" t="s">
        <v>10</v>
      </c>
      <c r="Y230" s="23">
        <v>59.1539719860898</v>
      </c>
      <c r="Z230" s="24">
        <v>145.20433383528848</v>
      </c>
      <c r="AB230" s="24">
        <v>91.46989374938612</v>
      </c>
      <c r="AC230" s="24">
        <v>133.36525878314097</v>
      </c>
      <c r="AD230" s="24">
        <v>125.27325878314095</v>
      </c>
      <c r="AE230" s="24">
        <v>111.94525878314097</v>
      </c>
      <c r="AF230" s="17"/>
      <c r="AG230" s="68">
        <f>HLOOKUP($J$3,$AB$3:$AE$243,228,FALSE)</f>
        <v>91.46989374938612</v>
      </c>
    </row>
    <row r="231" spans="1:33" ht="15.75" customHeight="1">
      <c r="A231" s="22" t="s">
        <v>11</v>
      </c>
      <c r="B231" s="23">
        <v>68.22242714955922</v>
      </c>
      <c r="C231" s="24">
        <v>294.06743799720965</v>
      </c>
      <c r="E231" s="24">
        <v>531.1062995356713</v>
      </c>
      <c r="F231" s="24">
        <v>547.0998995356713</v>
      </c>
      <c r="G231" s="24">
        <v>544.2676995356712</v>
      </c>
      <c r="H231" s="24">
        <v>539.6028995356712</v>
      </c>
      <c r="I231" s="17"/>
      <c r="J231" s="68">
        <f>HLOOKUP($J$3,$E$3:$H$243,229,FALSE)</f>
        <v>531.1062995356713</v>
      </c>
      <c r="X231" s="22" t="s">
        <v>11</v>
      </c>
      <c r="Y231" s="23">
        <v>68.22242714955922</v>
      </c>
      <c r="Z231" s="24">
        <v>294.06743799720965</v>
      </c>
      <c r="AB231" s="24">
        <v>190.74310315534285</v>
      </c>
      <c r="AC231" s="24">
        <v>206.73670315534287</v>
      </c>
      <c r="AD231" s="24">
        <v>203.9045031553428</v>
      </c>
      <c r="AE231" s="24">
        <v>199.2397031553428</v>
      </c>
      <c r="AF231" s="17"/>
      <c r="AG231" s="68">
        <f>HLOOKUP($J$3,$AB$3:$AE$243,229,FALSE)</f>
        <v>190.74310315534285</v>
      </c>
    </row>
    <row r="232" spans="1:33" ht="15.75" customHeight="1">
      <c r="A232" s="22" t="s">
        <v>12</v>
      </c>
      <c r="B232" s="23">
        <v>59.1539719860898</v>
      </c>
      <c r="C232" s="24">
        <v>182.4468872741135</v>
      </c>
      <c r="E232" s="24"/>
      <c r="F232" s="24"/>
      <c r="G232" s="24"/>
      <c r="H232" s="24"/>
      <c r="I232" s="17"/>
      <c r="J232" s="68">
        <f>HLOOKUP($J$3,$E$3:$H$243,230,FALSE)</f>
        <v>0</v>
      </c>
      <c r="X232" s="22" t="s">
        <v>12</v>
      </c>
      <c r="Y232" s="23">
        <v>59.1539719860898</v>
      </c>
      <c r="Z232" s="24">
        <v>182.4468872741135</v>
      </c>
      <c r="AB232" s="24"/>
      <c r="AC232" s="24"/>
      <c r="AD232" s="24"/>
      <c r="AE232" s="24"/>
      <c r="AF232" s="17"/>
      <c r="AG232" s="68">
        <f>HLOOKUP($J$3,$AB$3:$AE$243,230,FALSE)</f>
        <v>0</v>
      </c>
    </row>
    <row r="233" spans="1:33" ht="15.75" customHeight="1">
      <c r="A233" s="22" t="s">
        <v>13</v>
      </c>
      <c r="B233" s="23">
        <v>68.22242714955922</v>
      </c>
      <c r="C233" s="24">
        <v>331.3099914360347</v>
      </c>
      <c r="E233" s="24"/>
      <c r="F233" s="24"/>
      <c r="G233" s="24"/>
      <c r="H233" s="24"/>
      <c r="I233" s="17"/>
      <c r="J233" s="68">
        <f>HLOOKUP($J$3,$E$3:$H$243,231,FALSE)</f>
        <v>0</v>
      </c>
      <c r="X233" s="22" t="s">
        <v>13</v>
      </c>
      <c r="Y233" s="23">
        <v>68.22242714955922</v>
      </c>
      <c r="Z233" s="24">
        <v>331.3099914360347</v>
      </c>
      <c r="AB233" s="24"/>
      <c r="AC233" s="24"/>
      <c r="AD233" s="24"/>
      <c r="AE233" s="24"/>
      <c r="AF233" s="17"/>
      <c r="AG233" s="68">
        <f>HLOOKUP($J$3,$AB$3:$AE$243,231,FALSE)</f>
        <v>0</v>
      </c>
    </row>
    <row r="234" spans="1:33" ht="15.75" customHeight="1">
      <c r="A234" s="22" t="s">
        <v>14</v>
      </c>
      <c r="B234" s="23">
        <v>59.1539719860898</v>
      </c>
      <c r="C234" s="24"/>
      <c r="E234" s="24">
        <v>235.17281848668364</v>
      </c>
      <c r="F234" s="24">
        <v>249.56384881257503</v>
      </c>
      <c r="G234" s="24">
        <v>246.73164881257503</v>
      </c>
      <c r="H234" s="24">
        <v>242.06684881257502</v>
      </c>
      <c r="I234" s="17"/>
      <c r="J234" s="68">
        <f>HLOOKUP($J$3,$E$3:$H$243,232,FALSE)</f>
        <v>235.17281848668364</v>
      </c>
      <c r="X234" s="22" t="s">
        <v>14</v>
      </c>
      <c r="Y234" s="23">
        <v>59.1539719860898</v>
      </c>
      <c r="Z234" s="24"/>
      <c r="AB234" s="24">
        <v>136.27807726982462</v>
      </c>
      <c r="AC234" s="24">
        <v>150.669107595716</v>
      </c>
      <c r="AD234" s="24">
        <v>147.836907595716</v>
      </c>
      <c r="AE234" s="24">
        <v>143.172107595716</v>
      </c>
      <c r="AF234" s="17"/>
      <c r="AG234" s="68">
        <f>HLOOKUP($J$3,$AB$3:$AE$243,232,FALSE)</f>
        <v>136.27807726982462</v>
      </c>
    </row>
    <row r="235" spans="1:33" ht="15.75" customHeight="1">
      <c r="A235" s="22" t="s">
        <v>15</v>
      </c>
      <c r="B235" s="23">
        <v>59.1539719860898</v>
      </c>
      <c r="C235" s="24"/>
      <c r="E235" s="24">
        <v>373.128</v>
      </c>
      <c r="F235" s="24">
        <v>464.52000000000004</v>
      </c>
      <c r="G235" s="24">
        <v>448.33599999999996</v>
      </c>
      <c r="H235" s="24">
        <v>421.68</v>
      </c>
      <c r="I235" s="17"/>
      <c r="J235" s="68">
        <f>HLOOKUP($J$3,$E$3:$H$243,233,FALSE)</f>
        <v>373.128</v>
      </c>
      <c r="X235" s="22" t="s">
        <v>15</v>
      </c>
      <c r="Y235" s="23">
        <v>59.1539719860898</v>
      </c>
      <c r="Z235" s="24"/>
      <c r="AB235" s="24">
        <v>257.473258783141</v>
      </c>
      <c r="AC235" s="24">
        <v>348.86525878314103</v>
      </c>
      <c r="AD235" s="24">
        <v>332.68125878314095</v>
      </c>
      <c r="AE235" s="24">
        <v>306.025258783141</v>
      </c>
      <c r="AF235" s="17"/>
      <c r="AG235" s="68">
        <f>HLOOKUP($J$3,$AB$3:$AE$243,233,FALSE)</f>
        <v>257.473258783141</v>
      </c>
    </row>
    <row r="236" spans="1:33" ht="15.75" customHeight="1">
      <c r="A236" s="22" t="s">
        <v>16</v>
      </c>
      <c r="B236" s="23">
        <v>68.22242714955922</v>
      </c>
      <c r="C236" s="24"/>
      <c r="E236" s="24">
        <v>398.85581250709487</v>
      </c>
      <c r="F236" s="24">
        <v>411.5834925070949</v>
      </c>
      <c r="G236" s="24">
        <v>409.32963250709486</v>
      </c>
      <c r="H236" s="24">
        <v>405.6173925070949</v>
      </c>
      <c r="I236" s="17"/>
      <c r="J236" s="68">
        <f>HLOOKUP($J$3,$E$3:$H$243,234,FALSE)</f>
        <v>398.85581250709487</v>
      </c>
      <c r="X236" s="22" t="s">
        <v>16</v>
      </c>
      <c r="Y236" s="23">
        <v>68.22242714955922</v>
      </c>
      <c r="Z236" s="24"/>
      <c r="AB236" s="24">
        <v>290.8926161267664</v>
      </c>
      <c r="AC236" s="24">
        <v>303.62029612676645</v>
      </c>
      <c r="AD236" s="24">
        <v>301.3664361267664</v>
      </c>
      <c r="AE236" s="24">
        <v>297.65419612676646</v>
      </c>
      <c r="AF236" s="17"/>
      <c r="AG236" s="68">
        <f>HLOOKUP($J$3,$AB$3:$AE$243,234,FALSE)</f>
        <v>290.8926161267664</v>
      </c>
    </row>
    <row r="237" spans="1:33" ht="15.75" customHeight="1">
      <c r="A237" s="22" t="s">
        <v>17</v>
      </c>
      <c r="B237" s="23">
        <v>68.22242714955922</v>
      </c>
      <c r="C237" s="24"/>
      <c r="E237" s="24">
        <v>620.1607529744962</v>
      </c>
      <c r="F237" s="24">
        <v>652.1479529744961</v>
      </c>
      <c r="G237" s="24">
        <v>646.4835529744962</v>
      </c>
      <c r="H237" s="24">
        <v>637.1539529744962</v>
      </c>
      <c r="I237" s="17"/>
      <c r="J237" s="68">
        <f>HLOOKUP($J$3,$E$3:$H$243,235,FALSE)</f>
        <v>620.1607529744962</v>
      </c>
      <c r="X237" s="22" t="s">
        <v>17</v>
      </c>
      <c r="Y237" s="23">
        <v>68.22242714955922</v>
      </c>
      <c r="Z237" s="24"/>
      <c r="AB237" s="24">
        <v>263.03755659416777</v>
      </c>
      <c r="AC237" s="24">
        <v>295.0247565941677</v>
      </c>
      <c r="AD237" s="24">
        <v>289.3603565941678</v>
      </c>
      <c r="AE237" s="24">
        <v>280.03075659416777</v>
      </c>
      <c r="AF237" s="17"/>
      <c r="AG237" s="68">
        <f>HLOOKUP($J$3,$AB$3:$AE$243,235,FALSE)</f>
        <v>263.03755659416777</v>
      </c>
    </row>
    <row r="238" spans="1:33" ht="15.75" customHeight="1">
      <c r="A238" s="22" t="s">
        <v>18</v>
      </c>
      <c r="B238" s="23">
        <v>76.51216828236977</v>
      </c>
      <c r="C238" s="24"/>
      <c r="E238" s="24">
        <v>407.14581250709483</v>
      </c>
      <c r="F238" s="24">
        <v>419.87349250709485</v>
      </c>
      <c r="G238" s="24">
        <v>417.6196325070948</v>
      </c>
      <c r="H238" s="24">
        <v>413.90739250709487</v>
      </c>
      <c r="I238" s="17"/>
      <c r="J238" s="68">
        <f>HLOOKUP($J$3,$E$3:$H$243,236,FALSE)</f>
        <v>407.14581250709483</v>
      </c>
      <c r="X238" s="22" t="s">
        <v>18</v>
      </c>
      <c r="Y238" s="23">
        <v>76.51216828236977</v>
      </c>
      <c r="Z238" s="24"/>
      <c r="AB238" s="24">
        <v>290.89287499395584</v>
      </c>
      <c r="AC238" s="24">
        <v>303.62055499395586</v>
      </c>
      <c r="AD238" s="24">
        <v>301.36669499395583</v>
      </c>
      <c r="AE238" s="24">
        <v>297.6544549939559</v>
      </c>
      <c r="AF238" s="17"/>
      <c r="AG238" s="68">
        <f>HLOOKUP($J$3,$AB$3:$AE$243,236,FALSE)</f>
        <v>290.89287499395584</v>
      </c>
    </row>
    <row r="239" spans="1:33" ht="15.75" customHeight="1">
      <c r="A239" s="22" t="s">
        <v>19</v>
      </c>
      <c r="B239" s="23">
        <v>76.51216828236977</v>
      </c>
      <c r="C239" s="24"/>
      <c r="E239" s="24">
        <v>628.4507529744961</v>
      </c>
      <c r="F239" s="24">
        <v>660.437952974496</v>
      </c>
      <c r="G239" s="24">
        <v>654.7735529744962</v>
      </c>
      <c r="H239" s="24">
        <v>645.4439529744961</v>
      </c>
      <c r="I239" s="17"/>
      <c r="J239" s="68">
        <f>HLOOKUP($J$3,$E$3:$H$243,237,FALSE)</f>
        <v>628.4507529744961</v>
      </c>
      <c r="X239" s="22" t="s">
        <v>19</v>
      </c>
      <c r="Y239" s="23">
        <v>76.51216828236977</v>
      </c>
      <c r="Z239" s="24"/>
      <c r="AB239" s="24">
        <v>263.0378154613572</v>
      </c>
      <c r="AC239" s="24">
        <v>295.0250154613571</v>
      </c>
      <c r="AD239" s="24">
        <v>289.3606154613572</v>
      </c>
      <c r="AE239" s="24">
        <v>280.0310154613572</v>
      </c>
      <c r="AF239" s="17"/>
      <c r="AG239" s="68">
        <f>HLOOKUP($J$3,$AB$3:$AE$243,237,FALSE)</f>
        <v>263.0378154613572</v>
      </c>
    </row>
    <row r="240" spans="1:33" ht="15.75" customHeight="1">
      <c r="A240" s="22" t="s">
        <v>20</v>
      </c>
      <c r="B240" s="23">
        <v>76.51216828236977</v>
      </c>
      <c r="C240" s="24"/>
      <c r="E240" s="24">
        <v>474.04021450509623</v>
      </c>
      <c r="F240" s="24">
        <v>486.76789450509625</v>
      </c>
      <c r="G240" s="24">
        <v>484.5140345050962</v>
      </c>
      <c r="H240" s="24">
        <v>480.80179450509627</v>
      </c>
      <c r="I240" s="17"/>
      <c r="J240" s="68">
        <f>HLOOKUP($J$3,$E$3:$H$243,238,FALSE)</f>
        <v>474.04021450509623</v>
      </c>
      <c r="X240" s="22" t="s">
        <v>20</v>
      </c>
      <c r="Y240" s="23">
        <v>76.51216828236977</v>
      </c>
      <c r="Z240" s="24"/>
      <c r="AB240" s="24">
        <v>357.78727699195724</v>
      </c>
      <c r="AC240" s="24">
        <v>370.51495699195726</v>
      </c>
      <c r="AD240" s="24">
        <v>368.26109699195723</v>
      </c>
      <c r="AE240" s="24">
        <v>364.5488569919573</v>
      </c>
      <c r="AF240" s="17"/>
      <c r="AG240" s="68">
        <f>HLOOKUP($J$3,$AB$3:$AE$243,238,FALSE)</f>
        <v>357.78727699195724</v>
      </c>
    </row>
    <row r="241" spans="1:33" ht="15.75" customHeight="1">
      <c r="A241" s="22" t="s">
        <v>21</v>
      </c>
      <c r="B241" s="23">
        <v>76.51216828236977</v>
      </c>
      <c r="C241" s="24"/>
      <c r="E241" s="24">
        <v>734.1387485635212</v>
      </c>
      <c r="F241" s="24">
        <v>766.1259485635212</v>
      </c>
      <c r="G241" s="24">
        <v>760.4615485635212</v>
      </c>
      <c r="H241" s="24">
        <v>751.1319485635213</v>
      </c>
      <c r="I241" s="17"/>
      <c r="J241" s="68">
        <f>HLOOKUP($J$3,$E$3:$H$243,239,FALSE)</f>
        <v>734.1387485635212</v>
      </c>
      <c r="X241" s="22" t="s">
        <v>21</v>
      </c>
      <c r="Y241" s="23">
        <v>76.51216828236977</v>
      </c>
      <c r="Z241" s="24"/>
      <c r="AB241" s="24">
        <v>252.52581105038223</v>
      </c>
      <c r="AC241" s="24">
        <v>284.51301105038226</v>
      </c>
      <c r="AD241" s="24">
        <v>278.84861105038226</v>
      </c>
      <c r="AE241" s="24">
        <v>269.51901105038235</v>
      </c>
      <c r="AF241" s="17"/>
      <c r="AG241" s="68">
        <f>HLOOKUP($J$3,$AB$3:$AE$243,239,FALSE)</f>
        <v>252.52581105038223</v>
      </c>
    </row>
    <row r="242" spans="1:33" ht="15.75" customHeight="1">
      <c r="A242" s="22" t="s">
        <v>22</v>
      </c>
      <c r="B242" s="23">
        <v>76.51216828236977</v>
      </c>
      <c r="C242" s="24"/>
      <c r="E242" s="24">
        <v>537.6846165030977</v>
      </c>
      <c r="F242" s="24">
        <v>550.4122965030977</v>
      </c>
      <c r="G242" s="24">
        <v>548.1584365030976</v>
      </c>
      <c r="H242" s="24">
        <v>544.4461965030977</v>
      </c>
      <c r="I242" s="17"/>
      <c r="J242" s="68">
        <f>HLOOKUP($J$3,$E$3:$H$243,240,FALSE)</f>
        <v>537.6846165030977</v>
      </c>
      <c r="X242" s="22" t="s">
        <v>22</v>
      </c>
      <c r="Y242" s="23">
        <v>76.51216828236977</v>
      </c>
      <c r="Z242" s="24"/>
      <c r="AB242" s="24">
        <v>421.4316789899587</v>
      </c>
      <c r="AC242" s="24">
        <v>434.15935898995866</v>
      </c>
      <c r="AD242" s="24">
        <v>431.90549898995863</v>
      </c>
      <c r="AE242" s="24">
        <v>428.1932589899587</v>
      </c>
      <c r="AF242" s="17"/>
      <c r="AG242" s="68">
        <f>HLOOKUP($J$3,$AB$3:$AE$243,240,FALSE)</f>
        <v>421.4316789899587</v>
      </c>
    </row>
    <row r="243" spans="1:33" ht="15.75" customHeight="1">
      <c r="A243" s="38" t="s">
        <v>23</v>
      </c>
      <c r="B243" s="39">
        <v>76.51216828236977</v>
      </c>
      <c r="C243" s="40"/>
      <c r="E243" s="40">
        <v>795.8513807675463</v>
      </c>
      <c r="F243" s="40">
        <v>827.8385807675461</v>
      </c>
      <c r="G243" s="40">
        <v>822.1741807675462</v>
      </c>
      <c r="H243" s="41">
        <v>812.8445807675462</v>
      </c>
      <c r="I243" s="17"/>
      <c r="J243" s="68">
        <f>HLOOKUP($J$3,$E$3:$H$243,241,FALSE)</f>
        <v>795.8513807675463</v>
      </c>
      <c r="X243" s="38" t="s">
        <v>23</v>
      </c>
      <c r="Y243" s="39">
        <v>76.51216828236977</v>
      </c>
      <c r="Z243" s="40"/>
      <c r="AB243" s="40">
        <v>198.0384432544073</v>
      </c>
      <c r="AC243" s="40">
        <v>230.0256432544071</v>
      </c>
      <c r="AD243" s="40">
        <v>224.3612432544072</v>
      </c>
      <c r="AE243" s="41">
        <v>215.0316432544072</v>
      </c>
      <c r="AF243" s="17"/>
      <c r="AG243" s="68">
        <f>HLOOKUP($J$3,$AB$3:$AE$243,241,FALSE)</f>
        <v>198.0384432544073</v>
      </c>
    </row>
    <row r="244" spans="10:33" ht="12.75">
      <c r="J244" s="67" t="e">
        <f>HLOOKUP($J$3,$E$3:$H$243,242,FALSE)</f>
        <v>#REF!</v>
      </c>
      <c r="AG244" s="67" t="e">
        <f>HLOOKUP($J$3,$AB$3:$AE$243,242,FALSE)</f>
        <v>#REF!</v>
      </c>
    </row>
    <row r="245" spans="10:33" ht="12.75">
      <c r="J245" s="67" t="e">
        <f>HLOOKUP($J$3,$E$3:$H$243,243,FALSE)</f>
        <v>#REF!</v>
      </c>
      <c r="AG245" s="67" t="e">
        <f>HLOOKUP($J$3,$AB$3:$AE$243,243,FALSE)</f>
        <v>#REF!</v>
      </c>
    </row>
    <row r="246" spans="10:33" ht="12.75">
      <c r="J246" s="67" t="e">
        <f>HLOOKUP($J$3,$E$3:$H$243,244,FALSE)</f>
        <v>#REF!</v>
      </c>
      <c r="AG246" s="67" t="e">
        <f>HLOOKUP($J$3,$AB$3:$AE$243,244,FALSE)</f>
        <v>#REF!</v>
      </c>
    </row>
    <row r="247" spans="10:33" ht="12.75">
      <c r="J247" s="67" t="e">
        <f>HLOOKUP($J$3,$E$3:$H$243,245,FALSE)</f>
        <v>#REF!</v>
      </c>
      <c r="AG247" s="67" t="e">
        <f>HLOOKUP($J$3,$AB$3:$AE$243,245,FALSE)</f>
        <v>#REF!</v>
      </c>
    </row>
    <row r="248" spans="1:33" ht="12.75">
      <c r="A248" s="69" t="s">
        <v>46</v>
      </c>
      <c r="B248" s="11" t="s">
        <v>47</v>
      </c>
      <c r="C248" s="11">
        <v>4</v>
      </c>
      <c r="D248" s="29" t="s">
        <v>48</v>
      </c>
      <c r="E248" s="11" t="str">
        <f>CONCATENATE(B248,C248,D248)</f>
        <v>'=HLOOKUP($J$3,$E$3:$H$243,4,FALSE)</v>
      </c>
      <c r="J248" s="67" t="e">
        <f>HLOOKUP($J$3,$E$3:$H$243,246,FALSE)</f>
        <v>#REF!</v>
      </c>
      <c r="X248" s="69" t="s">
        <v>46</v>
      </c>
      <c r="Y248" s="11" t="s">
        <v>47</v>
      </c>
      <c r="Z248" s="11">
        <v>4</v>
      </c>
      <c r="AA248" s="29" t="s">
        <v>48</v>
      </c>
      <c r="AB248" s="11" t="str">
        <f>CONCATENATE(Y248,Z248,AA248)</f>
        <v>'=HLOOKUP($J$3,$E$3:$H$243,4,FALSE)</v>
      </c>
      <c r="AG248" s="67" t="e">
        <f>HLOOKUP($J$3,$AB$3:$AE$243,246,FALSE)</f>
        <v>#REF!</v>
      </c>
    </row>
    <row r="249" spans="2:33" ht="12.75">
      <c r="B249" s="11" t="s">
        <v>47</v>
      </c>
      <c r="C249" s="11">
        <v>5</v>
      </c>
      <c r="D249" s="29" t="s">
        <v>48</v>
      </c>
      <c r="E249" s="11" t="str">
        <f aca="true" t="shared" si="16" ref="E249:E312">CONCATENATE(B249,C249,D249)</f>
        <v>'=HLOOKUP($J$3,$E$3:$H$243,5,FALSE)</v>
      </c>
      <c r="J249" s="67" t="e">
        <f>HLOOKUP($J$3,$E$3:$H$243,247,FALSE)</f>
        <v>#REF!</v>
      </c>
      <c r="Y249" s="11" t="s">
        <v>47</v>
      </c>
      <c r="Z249" s="11">
        <v>5</v>
      </c>
      <c r="AA249" s="29" t="s">
        <v>48</v>
      </c>
      <c r="AB249" s="11" t="str">
        <f aca="true" t="shared" si="17" ref="AB249:AB312">CONCATENATE(Y249,Z249,AA249)</f>
        <v>'=HLOOKUP($J$3,$E$3:$H$243,5,FALSE)</v>
      </c>
      <c r="AG249" s="67" t="e">
        <f>HLOOKUP($J$3,$AB$3:$AE$243,247,FALSE)</f>
        <v>#REF!</v>
      </c>
    </row>
    <row r="250" spans="2:33" ht="12.75">
      <c r="B250" s="11" t="s">
        <v>47</v>
      </c>
      <c r="C250" s="11">
        <v>6</v>
      </c>
      <c r="D250" s="29" t="s">
        <v>48</v>
      </c>
      <c r="E250" s="11" t="str">
        <f t="shared" si="16"/>
        <v>'=HLOOKUP($J$3,$E$3:$H$243,6,FALSE)</v>
      </c>
      <c r="J250" s="67" t="e">
        <f>HLOOKUP($J$3,$E$3:$H$243,248,FALSE)</f>
        <v>#REF!</v>
      </c>
      <c r="Y250" s="11" t="s">
        <v>47</v>
      </c>
      <c r="Z250" s="11">
        <v>6</v>
      </c>
      <c r="AA250" s="29" t="s">
        <v>48</v>
      </c>
      <c r="AB250" s="11" t="str">
        <f t="shared" si="17"/>
        <v>'=HLOOKUP($J$3,$E$3:$H$243,6,FALSE)</v>
      </c>
      <c r="AG250" s="67" t="e">
        <f>HLOOKUP($J$3,$AB$3:$AE$243,248,FALSE)</f>
        <v>#REF!</v>
      </c>
    </row>
    <row r="251" spans="2:33" ht="12.75">
      <c r="B251" s="11" t="s">
        <v>47</v>
      </c>
      <c r="C251" s="11">
        <v>7</v>
      </c>
      <c r="D251" s="29" t="s">
        <v>48</v>
      </c>
      <c r="E251" s="11" t="str">
        <f t="shared" si="16"/>
        <v>'=HLOOKUP($J$3,$E$3:$H$243,7,FALSE)</v>
      </c>
      <c r="J251" s="67" t="e">
        <f>HLOOKUP($J$3,$E$3:$H$243,249,FALSE)</f>
        <v>#REF!</v>
      </c>
      <c r="Y251" s="11" t="s">
        <v>47</v>
      </c>
      <c r="Z251" s="11">
        <v>7</v>
      </c>
      <c r="AA251" s="29" t="s">
        <v>48</v>
      </c>
      <c r="AB251" s="11" t="str">
        <f t="shared" si="17"/>
        <v>'=HLOOKUP($J$3,$E$3:$H$243,7,FALSE)</v>
      </c>
      <c r="AG251" s="67" t="e">
        <f>HLOOKUP($J$3,$AB$3:$AE$243,249,FALSE)</f>
        <v>#REF!</v>
      </c>
    </row>
    <row r="252" spans="2:33" ht="12.75">
      <c r="B252" s="11" t="s">
        <v>47</v>
      </c>
      <c r="C252" s="11">
        <v>8</v>
      </c>
      <c r="D252" s="29" t="s">
        <v>48</v>
      </c>
      <c r="E252" s="11" t="str">
        <f t="shared" si="16"/>
        <v>'=HLOOKUP($J$3,$E$3:$H$243,8,FALSE)</v>
      </c>
      <c r="J252" s="67" t="e">
        <f>HLOOKUP($J$3,$E$3:$H$243,250,FALSE)</f>
        <v>#REF!</v>
      </c>
      <c r="Y252" s="11" t="s">
        <v>47</v>
      </c>
      <c r="Z252" s="11">
        <v>8</v>
      </c>
      <c r="AA252" s="29" t="s">
        <v>48</v>
      </c>
      <c r="AB252" s="11" t="str">
        <f t="shared" si="17"/>
        <v>'=HLOOKUP($J$3,$E$3:$H$243,8,FALSE)</v>
      </c>
      <c r="AG252" s="67" t="e">
        <f>HLOOKUP($J$3,$AB$3:$AE$243,250,FALSE)</f>
        <v>#REF!</v>
      </c>
    </row>
    <row r="253" spans="2:33" ht="12.75">
      <c r="B253" s="11" t="s">
        <v>47</v>
      </c>
      <c r="C253" s="11">
        <v>9</v>
      </c>
      <c r="D253" s="29" t="s">
        <v>48</v>
      </c>
      <c r="E253" s="11" t="str">
        <f t="shared" si="16"/>
        <v>'=HLOOKUP($J$3,$E$3:$H$243,9,FALSE)</v>
      </c>
      <c r="J253" s="67"/>
      <c r="Y253" s="11" t="s">
        <v>47</v>
      </c>
      <c r="Z253" s="11">
        <v>9</v>
      </c>
      <c r="AA253" s="29" t="s">
        <v>48</v>
      </c>
      <c r="AB253" s="11" t="str">
        <f t="shared" si="17"/>
        <v>'=HLOOKUP($J$3,$E$3:$H$243,9,FALSE)</v>
      </c>
      <c r="AG253" s="67"/>
    </row>
    <row r="254" spans="2:33" ht="12.75">
      <c r="B254" s="11" t="s">
        <v>47</v>
      </c>
      <c r="C254" s="11">
        <v>10</v>
      </c>
      <c r="D254" s="29" t="s">
        <v>48</v>
      </c>
      <c r="E254" s="11" t="str">
        <f t="shared" si="16"/>
        <v>'=HLOOKUP($J$3,$E$3:$H$243,10,FALSE)</v>
      </c>
      <c r="J254" s="67"/>
      <c r="Y254" s="11" t="s">
        <v>47</v>
      </c>
      <c r="Z254" s="11">
        <v>10</v>
      </c>
      <c r="AA254" s="29" t="s">
        <v>48</v>
      </c>
      <c r="AB254" s="11" t="str">
        <f t="shared" si="17"/>
        <v>'=HLOOKUP($J$3,$E$3:$H$243,10,FALSE)</v>
      </c>
      <c r="AG254" s="67"/>
    </row>
    <row r="255" spans="2:33" ht="12.75">
      <c r="B255" s="11" t="s">
        <v>47</v>
      </c>
      <c r="C255" s="11">
        <v>11</v>
      </c>
      <c r="D255" s="29" t="s">
        <v>48</v>
      </c>
      <c r="E255" s="11" t="str">
        <f t="shared" si="16"/>
        <v>'=HLOOKUP($J$3,$E$3:$H$243,11,FALSE)</v>
      </c>
      <c r="J255" s="67"/>
      <c r="Y255" s="11" t="s">
        <v>47</v>
      </c>
      <c r="Z255" s="11">
        <v>11</v>
      </c>
      <c r="AA255" s="29" t="s">
        <v>48</v>
      </c>
      <c r="AB255" s="11" t="str">
        <f t="shared" si="17"/>
        <v>'=HLOOKUP($J$3,$E$3:$H$243,11,FALSE)</v>
      </c>
      <c r="AG255" s="67"/>
    </row>
    <row r="256" spans="2:33" ht="12.75">
      <c r="B256" s="11" t="s">
        <v>47</v>
      </c>
      <c r="C256" s="11">
        <v>12</v>
      </c>
      <c r="D256" s="29" t="s">
        <v>48</v>
      </c>
      <c r="E256" s="11" t="str">
        <f t="shared" si="16"/>
        <v>'=HLOOKUP($J$3,$E$3:$H$243,12,FALSE)</v>
      </c>
      <c r="J256" s="67"/>
      <c r="Y256" s="11" t="s">
        <v>47</v>
      </c>
      <c r="Z256" s="11">
        <v>12</v>
      </c>
      <c r="AA256" s="29" t="s">
        <v>48</v>
      </c>
      <c r="AB256" s="11" t="str">
        <f t="shared" si="17"/>
        <v>'=HLOOKUP($J$3,$E$3:$H$243,12,FALSE)</v>
      </c>
      <c r="AG256" s="67"/>
    </row>
    <row r="257" spans="2:33" ht="12.75">
      <c r="B257" s="11" t="s">
        <v>47</v>
      </c>
      <c r="C257" s="11">
        <v>13</v>
      </c>
      <c r="D257" s="29" t="s">
        <v>48</v>
      </c>
      <c r="E257" s="11" t="str">
        <f t="shared" si="16"/>
        <v>'=HLOOKUP($J$3,$E$3:$H$243,13,FALSE)</v>
      </c>
      <c r="J257" s="67"/>
      <c r="Y257" s="11" t="s">
        <v>47</v>
      </c>
      <c r="Z257" s="11">
        <v>13</v>
      </c>
      <c r="AA257" s="29" t="s">
        <v>48</v>
      </c>
      <c r="AB257" s="11" t="str">
        <f t="shared" si="17"/>
        <v>'=HLOOKUP($J$3,$E$3:$H$243,13,FALSE)</v>
      </c>
      <c r="AG257" s="67"/>
    </row>
    <row r="258" spans="2:33" ht="12.75">
      <c r="B258" s="11" t="s">
        <v>47</v>
      </c>
      <c r="C258" s="11">
        <v>14</v>
      </c>
      <c r="D258" s="29" t="s">
        <v>48</v>
      </c>
      <c r="E258" s="11" t="str">
        <f t="shared" si="16"/>
        <v>'=HLOOKUP($J$3,$E$3:$H$243,14,FALSE)</v>
      </c>
      <c r="J258" s="67"/>
      <c r="Y258" s="11" t="s">
        <v>47</v>
      </c>
      <c r="Z258" s="11">
        <v>14</v>
      </c>
      <c r="AA258" s="29" t="s">
        <v>48</v>
      </c>
      <c r="AB258" s="11" t="str">
        <f t="shared" si="17"/>
        <v>'=HLOOKUP($J$3,$E$3:$H$243,14,FALSE)</v>
      </c>
      <c r="AG258" s="67"/>
    </row>
    <row r="259" spans="2:33" ht="12.75">
      <c r="B259" s="11" t="s">
        <v>47</v>
      </c>
      <c r="C259" s="11">
        <v>15</v>
      </c>
      <c r="D259" s="29" t="s">
        <v>48</v>
      </c>
      <c r="E259" s="11" t="str">
        <f t="shared" si="16"/>
        <v>'=HLOOKUP($J$3,$E$3:$H$243,15,FALSE)</v>
      </c>
      <c r="J259" s="67"/>
      <c r="Y259" s="11" t="s">
        <v>47</v>
      </c>
      <c r="Z259" s="11">
        <v>15</v>
      </c>
      <c r="AA259" s="29" t="s">
        <v>48</v>
      </c>
      <c r="AB259" s="11" t="str">
        <f t="shared" si="17"/>
        <v>'=HLOOKUP($J$3,$E$3:$H$243,15,FALSE)</v>
      </c>
      <c r="AG259" s="67"/>
    </row>
    <row r="260" spans="2:33" ht="12.75">
      <c r="B260" s="11" t="s">
        <v>47</v>
      </c>
      <c r="C260" s="11">
        <v>16</v>
      </c>
      <c r="D260" s="29" t="s">
        <v>48</v>
      </c>
      <c r="E260" s="11" t="str">
        <f t="shared" si="16"/>
        <v>'=HLOOKUP($J$3,$E$3:$H$243,16,FALSE)</v>
      </c>
      <c r="J260" s="67"/>
      <c r="Y260" s="11" t="s">
        <v>47</v>
      </c>
      <c r="Z260" s="11">
        <v>16</v>
      </c>
      <c r="AA260" s="29" t="s">
        <v>48</v>
      </c>
      <c r="AB260" s="11" t="str">
        <f t="shared" si="17"/>
        <v>'=HLOOKUP($J$3,$E$3:$H$243,16,FALSE)</v>
      </c>
      <c r="AG260" s="67"/>
    </row>
    <row r="261" spans="2:33" ht="12.75">
      <c r="B261" s="11" t="s">
        <v>47</v>
      </c>
      <c r="C261" s="11">
        <v>17</v>
      </c>
      <c r="D261" s="29" t="s">
        <v>48</v>
      </c>
      <c r="E261" s="11" t="str">
        <f t="shared" si="16"/>
        <v>'=HLOOKUP($J$3,$E$3:$H$243,17,FALSE)</v>
      </c>
      <c r="J261" s="67"/>
      <c r="Y261" s="11" t="s">
        <v>47</v>
      </c>
      <c r="Z261" s="11">
        <v>17</v>
      </c>
      <c r="AA261" s="29" t="s">
        <v>48</v>
      </c>
      <c r="AB261" s="11" t="str">
        <f t="shared" si="17"/>
        <v>'=HLOOKUP($J$3,$E$3:$H$243,17,FALSE)</v>
      </c>
      <c r="AG261" s="67"/>
    </row>
    <row r="262" spans="2:33" ht="12.75">
      <c r="B262" s="11" t="s">
        <v>47</v>
      </c>
      <c r="C262" s="11">
        <v>18</v>
      </c>
      <c r="D262" s="29" t="s">
        <v>48</v>
      </c>
      <c r="E262" s="11" t="str">
        <f t="shared" si="16"/>
        <v>'=HLOOKUP($J$3,$E$3:$H$243,18,FALSE)</v>
      </c>
      <c r="J262" s="67"/>
      <c r="Y262" s="11" t="s">
        <v>47</v>
      </c>
      <c r="Z262" s="11">
        <v>18</v>
      </c>
      <c r="AA262" s="29" t="s">
        <v>48</v>
      </c>
      <c r="AB262" s="11" t="str">
        <f t="shared" si="17"/>
        <v>'=HLOOKUP($J$3,$E$3:$H$243,18,FALSE)</v>
      </c>
      <c r="AG262" s="67"/>
    </row>
    <row r="263" spans="2:33" ht="12.75">
      <c r="B263" s="11" t="s">
        <v>47</v>
      </c>
      <c r="C263" s="11">
        <v>19</v>
      </c>
      <c r="D263" s="29" t="s">
        <v>48</v>
      </c>
      <c r="E263" s="11" t="str">
        <f t="shared" si="16"/>
        <v>'=HLOOKUP($J$3,$E$3:$H$243,19,FALSE)</v>
      </c>
      <c r="J263" s="67"/>
      <c r="Y263" s="11" t="s">
        <v>47</v>
      </c>
      <c r="Z263" s="11">
        <v>19</v>
      </c>
      <c r="AA263" s="29" t="s">
        <v>48</v>
      </c>
      <c r="AB263" s="11" t="str">
        <f t="shared" si="17"/>
        <v>'=HLOOKUP($J$3,$E$3:$H$243,19,FALSE)</v>
      </c>
      <c r="AG263" s="67"/>
    </row>
    <row r="264" spans="2:28" ht="12.75">
      <c r="B264" s="11" t="s">
        <v>47</v>
      </c>
      <c r="C264" s="11">
        <v>20</v>
      </c>
      <c r="D264" s="29" t="s">
        <v>48</v>
      </c>
      <c r="E264" s="11" t="str">
        <f t="shared" si="16"/>
        <v>'=HLOOKUP($J$3,$E$3:$H$243,20,FALSE)</v>
      </c>
      <c r="Y264" s="11" t="s">
        <v>47</v>
      </c>
      <c r="Z264" s="11">
        <v>20</v>
      </c>
      <c r="AA264" s="29" t="s">
        <v>48</v>
      </c>
      <c r="AB264" s="11" t="str">
        <f t="shared" si="17"/>
        <v>'=HLOOKUP($J$3,$E$3:$H$243,20,FALSE)</v>
      </c>
    </row>
    <row r="265" spans="2:28" ht="12.75">
      <c r="B265" s="11" t="s">
        <v>47</v>
      </c>
      <c r="C265" s="11">
        <v>21</v>
      </c>
      <c r="D265" s="29" t="s">
        <v>48</v>
      </c>
      <c r="E265" s="11" t="str">
        <f t="shared" si="16"/>
        <v>'=HLOOKUP($J$3,$E$3:$H$243,21,FALSE)</v>
      </c>
      <c r="Y265" s="11" t="s">
        <v>47</v>
      </c>
      <c r="Z265" s="11">
        <v>21</v>
      </c>
      <c r="AA265" s="29" t="s">
        <v>48</v>
      </c>
      <c r="AB265" s="11" t="str">
        <f t="shared" si="17"/>
        <v>'=HLOOKUP($J$3,$E$3:$H$243,21,FALSE)</v>
      </c>
    </row>
    <row r="266" spans="2:28" ht="12.75">
      <c r="B266" s="11" t="s">
        <v>47</v>
      </c>
      <c r="C266" s="11">
        <v>22</v>
      </c>
      <c r="D266" s="29" t="s">
        <v>48</v>
      </c>
      <c r="E266" s="11" t="str">
        <f t="shared" si="16"/>
        <v>'=HLOOKUP($J$3,$E$3:$H$243,22,FALSE)</v>
      </c>
      <c r="Y266" s="11" t="s">
        <v>47</v>
      </c>
      <c r="Z266" s="11">
        <v>22</v>
      </c>
      <c r="AA266" s="29" t="s">
        <v>48</v>
      </c>
      <c r="AB266" s="11" t="str">
        <f t="shared" si="17"/>
        <v>'=HLOOKUP($J$3,$E$3:$H$243,22,FALSE)</v>
      </c>
    </row>
    <row r="267" spans="2:28" ht="12.75">
      <c r="B267" s="11" t="s">
        <v>47</v>
      </c>
      <c r="C267" s="11">
        <v>23</v>
      </c>
      <c r="D267" s="29" t="s">
        <v>48</v>
      </c>
      <c r="E267" s="11" t="str">
        <f t="shared" si="16"/>
        <v>'=HLOOKUP($J$3,$E$3:$H$243,23,FALSE)</v>
      </c>
      <c r="Y267" s="11" t="s">
        <v>47</v>
      </c>
      <c r="Z267" s="11">
        <v>23</v>
      </c>
      <c r="AA267" s="29" t="s">
        <v>48</v>
      </c>
      <c r="AB267" s="11" t="str">
        <f t="shared" si="17"/>
        <v>'=HLOOKUP($J$3,$E$3:$H$243,23,FALSE)</v>
      </c>
    </row>
    <row r="268" spans="2:28" ht="12.75">
      <c r="B268" s="11" t="s">
        <v>47</v>
      </c>
      <c r="C268" s="11">
        <v>24</v>
      </c>
      <c r="D268" s="29" t="s">
        <v>48</v>
      </c>
      <c r="E268" s="11" t="str">
        <f t="shared" si="16"/>
        <v>'=HLOOKUP($J$3,$E$3:$H$243,24,FALSE)</v>
      </c>
      <c r="Y268" s="11" t="s">
        <v>47</v>
      </c>
      <c r="Z268" s="11">
        <v>24</v>
      </c>
      <c r="AA268" s="29" t="s">
        <v>48</v>
      </c>
      <c r="AB268" s="11" t="str">
        <f t="shared" si="17"/>
        <v>'=HLOOKUP($J$3,$E$3:$H$243,24,FALSE)</v>
      </c>
    </row>
    <row r="269" spans="2:28" ht="12.75">
      <c r="B269" s="11" t="s">
        <v>47</v>
      </c>
      <c r="C269" s="11">
        <v>25</v>
      </c>
      <c r="D269" s="29" t="s">
        <v>48</v>
      </c>
      <c r="E269" s="11" t="str">
        <f t="shared" si="16"/>
        <v>'=HLOOKUP($J$3,$E$3:$H$243,25,FALSE)</v>
      </c>
      <c r="Y269" s="11" t="s">
        <v>47</v>
      </c>
      <c r="Z269" s="11">
        <v>25</v>
      </c>
      <c r="AA269" s="29" t="s">
        <v>48</v>
      </c>
      <c r="AB269" s="11" t="str">
        <f t="shared" si="17"/>
        <v>'=HLOOKUP($J$3,$E$3:$H$243,25,FALSE)</v>
      </c>
    </row>
    <row r="270" spans="2:28" ht="12.75">
      <c r="B270" s="11" t="s">
        <v>47</v>
      </c>
      <c r="C270" s="11">
        <v>26</v>
      </c>
      <c r="D270" s="29" t="s">
        <v>48</v>
      </c>
      <c r="E270" s="11" t="str">
        <f t="shared" si="16"/>
        <v>'=HLOOKUP($J$3,$E$3:$H$243,26,FALSE)</v>
      </c>
      <c r="Y270" s="11" t="s">
        <v>47</v>
      </c>
      <c r="Z270" s="11">
        <v>26</v>
      </c>
      <c r="AA270" s="29" t="s">
        <v>48</v>
      </c>
      <c r="AB270" s="11" t="str">
        <f t="shared" si="17"/>
        <v>'=HLOOKUP($J$3,$E$3:$H$243,26,FALSE)</v>
      </c>
    </row>
    <row r="271" spans="2:28" ht="12.75">
      <c r="B271" s="11" t="s">
        <v>47</v>
      </c>
      <c r="C271" s="11">
        <v>27</v>
      </c>
      <c r="D271" s="29" t="s">
        <v>48</v>
      </c>
      <c r="E271" s="11" t="str">
        <f t="shared" si="16"/>
        <v>'=HLOOKUP($J$3,$E$3:$H$243,27,FALSE)</v>
      </c>
      <c r="Y271" s="11" t="s">
        <v>47</v>
      </c>
      <c r="Z271" s="11">
        <v>27</v>
      </c>
      <c r="AA271" s="29" t="s">
        <v>48</v>
      </c>
      <c r="AB271" s="11" t="str">
        <f t="shared" si="17"/>
        <v>'=HLOOKUP($J$3,$E$3:$H$243,27,FALSE)</v>
      </c>
    </row>
    <row r="272" spans="2:28" ht="12.75">
      <c r="B272" s="11" t="s">
        <v>47</v>
      </c>
      <c r="C272" s="11">
        <v>28</v>
      </c>
      <c r="D272" s="29" t="s">
        <v>48</v>
      </c>
      <c r="E272" s="11" t="str">
        <f t="shared" si="16"/>
        <v>'=HLOOKUP($J$3,$E$3:$H$243,28,FALSE)</v>
      </c>
      <c r="Y272" s="11" t="s">
        <v>47</v>
      </c>
      <c r="Z272" s="11">
        <v>28</v>
      </c>
      <c r="AA272" s="29" t="s">
        <v>48</v>
      </c>
      <c r="AB272" s="11" t="str">
        <f t="shared" si="17"/>
        <v>'=HLOOKUP($J$3,$E$3:$H$243,28,FALSE)</v>
      </c>
    </row>
    <row r="273" spans="2:28" ht="12.75">
      <c r="B273" s="11" t="s">
        <v>47</v>
      </c>
      <c r="C273" s="11">
        <v>29</v>
      </c>
      <c r="D273" s="29" t="s">
        <v>48</v>
      </c>
      <c r="E273" s="11" t="str">
        <f t="shared" si="16"/>
        <v>'=HLOOKUP($J$3,$E$3:$H$243,29,FALSE)</v>
      </c>
      <c r="Y273" s="11" t="s">
        <v>47</v>
      </c>
      <c r="Z273" s="11">
        <v>29</v>
      </c>
      <c r="AA273" s="29" t="s">
        <v>48</v>
      </c>
      <c r="AB273" s="11" t="str">
        <f t="shared" si="17"/>
        <v>'=HLOOKUP($J$3,$E$3:$H$243,29,FALSE)</v>
      </c>
    </row>
    <row r="274" spans="2:28" ht="12.75">
      <c r="B274" s="11" t="s">
        <v>47</v>
      </c>
      <c r="C274" s="11">
        <v>30</v>
      </c>
      <c r="D274" s="29" t="s">
        <v>48</v>
      </c>
      <c r="E274" s="11" t="str">
        <f t="shared" si="16"/>
        <v>'=HLOOKUP($J$3,$E$3:$H$243,30,FALSE)</v>
      </c>
      <c r="Y274" s="11" t="s">
        <v>47</v>
      </c>
      <c r="Z274" s="11">
        <v>30</v>
      </c>
      <c r="AA274" s="29" t="s">
        <v>48</v>
      </c>
      <c r="AB274" s="11" t="str">
        <f t="shared" si="17"/>
        <v>'=HLOOKUP($J$3,$E$3:$H$243,30,FALSE)</v>
      </c>
    </row>
    <row r="275" spans="2:28" ht="12.75">
      <c r="B275" s="11" t="s">
        <v>47</v>
      </c>
      <c r="C275" s="11">
        <v>31</v>
      </c>
      <c r="D275" s="29" t="s">
        <v>48</v>
      </c>
      <c r="E275" s="11" t="str">
        <f t="shared" si="16"/>
        <v>'=HLOOKUP($J$3,$E$3:$H$243,31,FALSE)</v>
      </c>
      <c r="Y275" s="11" t="s">
        <v>47</v>
      </c>
      <c r="Z275" s="11">
        <v>31</v>
      </c>
      <c r="AA275" s="29" t="s">
        <v>48</v>
      </c>
      <c r="AB275" s="11" t="str">
        <f t="shared" si="17"/>
        <v>'=HLOOKUP($J$3,$E$3:$H$243,31,FALSE)</v>
      </c>
    </row>
    <row r="276" spans="2:28" ht="12.75">
      <c r="B276" s="11" t="s">
        <v>47</v>
      </c>
      <c r="C276" s="11">
        <v>32</v>
      </c>
      <c r="D276" s="29" t="s">
        <v>48</v>
      </c>
      <c r="E276" s="11" t="str">
        <f t="shared" si="16"/>
        <v>'=HLOOKUP($J$3,$E$3:$H$243,32,FALSE)</v>
      </c>
      <c r="Y276" s="11" t="s">
        <v>47</v>
      </c>
      <c r="Z276" s="11">
        <v>32</v>
      </c>
      <c r="AA276" s="29" t="s">
        <v>48</v>
      </c>
      <c r="AB276" s="11" t="str">
        <f t="shared" si="17"/>
        <v>'=HLOOKUP($J$3,$E$3:$H$243,32,FALSE)</v>
      </c>
    </row>
    <row r="277" spans="2:28" ht="12.75">
      <c r="B277" s="11" t="s">
        <v>47</v>
      </c>
      <c r="C277" s="11">
        <v>33</v>
      </c>
      <c r="D277" s="29" t="s">
        <v>48</v>
      </c>
      <c r="E277" s="11" t="str">
        <f t="shared" si="16"/>
        <v>'=HLOOKUP($J$3,$E$3:$H$243,33,FALSE)</v>
      </c>
      <c r="Y277" s="11" t="s">
        <v>47</v>
      </c>
      <c r="Z277" s="11">
        <v>33</v>
      </c>
      <c r="AA277" s="29" t="s">
        <v>48</v>
      </c>
      <c r="AB277" s="11" t="str">
        <f t="shared" si="17"/>
        <v>'=HLOOKUP($J$3,$E$3:$H$243,33,FALSE)</v>
      </c>
    </row>
    <row r="278" spans="2:28" ht="12.75">
      <c r="B278" s="11" t="s">
        <v>47</v>
      </c>
      <c r="C278" s="11">
        <v>34</v>
      </c>
      <c r="D278" s="29" t="s">
        <v>48</v>
      </c>
      <c r="E278" s="11" t="str">
        <f t="shared" si="16"/>
        <v>'=HLOOKUP($J$3,$E$3:$H$243,34,FALSE)</v>
      </c>
      <c r="Y278" s="11" t="s">
        <v>47</v>
      </c>
      <c r="Z278" s="11">
        <v>34</v>
      </c>
      <c r="AA278" s="29" t="s">
        <v>48</v>
      </c>
      <c r="AB278" s="11" t="str">
        <f t="shared" si="17"/>
        <v>'=HLOOKUP($J$3,$E$3:$H$243,34,FALSE)</v>
      </c>
    </row>
    <row r="279" spans="2:28" ht="12.75">
      <c r="B279" s="11" t="s">
        <v>47</v>
      </c>
      <c r="C279" s="11">
        <v>35</v>
      </c>
      <c r="D279" s="29" t="s">
        <v>48</v>
      </c>
      <c r="E279" s="11" t="str">
        <f t="shared" si="16"/>
        <v>'=HLOOKUP($J$3,$E$3:$H$243,35,FALSE)</v>
      </c>
      <c r="Y279" s="11" t="s">
        <v>47</v>
      </c>
      <c r="Z279" s="11">
        <v>35</v>
      </c>
      <c r="AA279" s="29" t="s">
        <v>48</v>
      </c>
      <c r="AB279" s="11" t="str">
        <f t="shared" si="17"/>
        <v>'=HLOOKUP($J$3,$E$3:$H$243,35,FALSE)</v>
      </c>
    </row>
    <row r="280" spans="2:28" ht="12.75">
      <c r="B280" s="11" t="s">
        <v>47</v>
      </c>
      <c r="C280" s="11">
        <v>36</v>
      </c>
      <c r="D280" s="29" t="s">
        <v>48</v>
      </c>
      <c r="E280" s="11" t="str">
        <f t="shared" si="16"/>
        <v>'=HLOOKUP($J$3,$E$3:$H$243,36,FALSE)</v>
      </c>
      <c r="Y280" s="11" t="s">
        <v>47</v>
      </c>
      <c r="Z280" s="11">
        <v>36</v>
      </c>
      <c r="AA280" s="29" t="s">
        <v>48</v>
      </c>
      <c r="AB280" s="11" t="str">
        <f t="shared" si="17"/>
        <v>'=HLOOKUP($J$3,$E$3:$H$243,36,FALSE)</v>
      </c>
    </row>
    <row r="281" spans="2:28" ht="12.75">
      <c r="B281" s="11" t="s">
        <v>47</v>
      </c>
      <c r="C281" s="11">
        <v>37</v>
      </c>
      <c r="D281" s="29" t="s">
        <v>48</v>
      </c>
      <c r="E281" s="11" t="str">
        <f t="shared" si="16"/>
        <v>'=HLOOKUP($J$3,$E$3:$H$243,37,FALSE)</v>
      </c>
      <c r="Y281" s="11" t="s">
        <v>47</v>
      </c>
      <c r="Z281" s="11">
        <v>37</v>
      </c>
      <c r="AA281" s="29" t="s">
        <v>48</v>
      </c>
      <c r="AB281" s="11" t="str">
        <f t="shared" si="17"/>
        <v>'=HLOOKUP($J$3,$E$3:$H$243,37,FALSE)</v>
      </c>
    </row>
    <row r="282" spans="2:28" ht="12.75">
      <c r="B282" s="11" t="s">
        <v>47</v>
      </c>
      <c r="C282" s="11">
        <v>38</v>
      </c>
      <c r="D282" s="29" t="s">
        <v>48</v>
      </c>
      <c r="E282" s="11" t="str">
        <f t="shared" si="16"/>
        <v>'=HLOOKUP($J$3,$E$3:$H$243,38,FALSE)</v>
      </c>
      <c r="Y282" s="11" t="s">
        <v>47</v>
      </c>
      <c r="Z282" s="11">
        <v>38</v>
      </c>
      <c r="AA282" s="29" t="s">
        <v>48</v>
      </c>
      <c r="AB282" s="11" t="str">
        <f t="shared" si="17"/>
        <v>'=HLOOKUP($J$3,$E$3:$H$243,38,FALSE)</v>
      </c>
    </row>
    <row r="283" spans="2:28" ht="12.75">
      <c r="B283" s="11" t="s">
        <v>47</v>
      </c>
      <c r="C283" s="11">
        <v>39</v>
      </c>
      <c r="D283" s="29" t="s">
        <v>48</v>
      </c>
      <c r="E283" s="11" t="str">
        <f t="shared" si="16"/>
        <v>'=HLOOKUP($J$3,$E$3:$H$243,39,FALSE)</v>
      </c>
      <c r="Y283" s="11" t="s">
        <v>47</v>
      </c>
      <c r="Z283" s="11">
        <v>39</v>
      </c>
      <c r="AA283" s="29" t="s">
        <v>48</v>
      </c>
      <c r="AB283" s="11" t="str">
        <f t="shared" si="17"/>
        <v>'=HLOOKUP($J$3,$E$3:$H$243,39,FALSE)</v>
      </c>
    </row>
    <row r="284" spans="2:28" ht="12.75">
      <c r="B284" s="11" t="s">
        <v>47</v>
      </c>
      <c r="C284" s="11">
        <v>40</v>
      </c>
      <c r="D284" s="29" t="s">
        <v>48</v>
      </c>
      <c r="E284" s="11" t="str">
        <f t="shared" si="16"/>
        <v>'=HLOOKUP($J$3,$E$3:$H$243,40,FALSE)</v>
      </c>
      <c r="Y284" s="11" t="s">
        <v>47</v>
      </c>
      <c r="Z284" s="11">
        <v>40</v>
      </c>
      <c r="AA284" s="29" t="s">
        <v>48</v>
      </c>
      <c r="AB284" s="11" t="str">
        <f t="shared" si="17"/>
        <v>'=HLOOKUP($J$3,$E$3:$H$243,40,FALSE)</v>
      </c>
    </row>
    <row r="285" spans="2:28" ht="12.75">
      <c r="B285" s="11" t="s">
        <v>47</v>
      </c>
      <c r="C285" s="11">
        <v>41</v>
      </c>
      <c r="D285" s="29" t="s">
        <v>48</v>
      </c>
      <c r="E285" s="11" t="str">
        <f t="shared" si="16"/>
        <v>'=HLOOKUP($J$3,$E$3:$H$243,41,FALSE)</v>
      </c>
      <c r="Y285" s="11" t="s">
        <v>47</v>
      </c>
      <c r="Z285" s="11">
        <v>41</v>
      </c>
      <c r="AA285" s="29" t="s">
        <v>48</v>
      </c>
      <c r="AB285" s="11" t="str">
        <f t="shared" si="17"/>
        <v>'=HLOOKUP($J$3,$E$3:$H$243,41,FALSE)</v>
      </c>
    </row>
    <row r="286" spans="2:28" ht="12.75">
      <c r="B286" s="11" t="s">
        <v>47</v>
      </c>
      <c r="C286" s="11">
        <v>42</v>
      </c>
      <c r="D286" s="29" t="s">
        <v>48</v>
      </c>
      <c r="E286" s="11" t="str">
        <f t="shared" si="16"/>
        <v>'=HLOOKUP($J$3,$E$3:$H$243,42,FALSE)</v>
      </c>
      <c r="Y286" s="11" t="s">
        <v>47</v>
      </c>
      <c r="Z286" s="11">
        <v>42</v>
      </c>
      <c r="AA286" s="29" t="s">
        <v>48</v>
      </c>
      <c r="AB286" s="11" t="str">
        <f t="shared" si="17"/>
        <v>'=HLOOKUP($J$3,$E$3:$H$243,42,FALSE)</v>
      </c>
    </row>
    <row r="287" spans="2:28" ht="12.75">
      <c r="B287" s="11" t="s">
        <v>47</v>
      </c>
      <c r="C287" s="11">
        <v>43</v>
      </c>
      <c r="D287" s="29" t="s">
        <v>48</v>
      </c>
      <c r="E287" s="11" t="str">
        <f t="shared" si="16"/>
        <v>'=HLOOKUP($J$3,$E$3:$H$243,43,FALSE)</v>
      </c>
      <c r="Y287" s="11" t="s">
        <v>47</v>
      </c>
      <c r="Z287" s="11">
        <v>43</v>
      </c>
      <c r="AA287" s="29" t="s">
        <v>48</v>
      </c>
      <c r="AB287" s="11" t="str">
        <f t="shared" si="17"/>
        <v>'=HLOOKUP($J$3,$E$3:$H$243,43,FALSE)</v>
      </c>
    </row>
    <row r="288" spans="2:28" ht="12.75">
      <c r="B288" s="11" t="s">
        <v>47</v>
      </c>
      <c r="C288" s="11">
        <v>44</v>
      </c>
      <c r="D288" s="29" t="s">
        <v>48</v>
      </c>
      <c r="E288" s="11" t="str">
        <f t="shared" si="16"/>
        <v>'=HLOOKUP($J$3,$E$3:$H$243,44,FALSE)</v>
      </c>
      <c r="Y288" s="11" t="s">
        <v>47</v>
      </c>
      <c r="Z288" s="11">
        <v>44</v>
      </c>
      <c r="AA288" s="29" t="s">
        <v>48</v>
      </c>
      <c r="AB288" s="11" t="str">
        <f t="shared" si="17"/>
        <v>'=HLOOKUP($J$3,$E$3:$H$243,44,FALSE)</v>
      </c>
    </row>
    <row r="289" spans="2:28" ht="12.75">
      <c r="B289" s="11" t="s">
        <v>47</v>
      </c>
      <c r="C289" s="11">
        <v>45</v>
      </c>
      <c r="D289" s="29" t="s">
        <v>48</v>
      </c>
      <c r="E289" s="11" t="str">
        <f t="shared" si="16"/>
        <v>'=HLOOKUP($J$3,$E$3:$H$243,45,FALSE)</v>
      </c>
      <c r="Y289" s="11" t="s">
        <v>47</v>
      </c>
      <c r="Z289" s="11">
        <v>45</v>
      </c>
      <c r="AA289" s="29" t="s">
        <v>48</v>
      </c>
      <c r="AB289" s="11" t="str">
        <f t="shared" si="17"/>
        <v>'=HLOOKUP($J$3,$E$3:$H$243,45,FALSE)</v>
      </c>
    </row>
    <row r="290" spans="2:28" ht="12.75">
      <c r="B290" s="11" t="s">
        <v>47</v>
      </c>
      <c r="C290" s="11">
        <v>46</v>
      </c>
      <c r="D290" s="29" t="s">
        <v>48</v>
      </c>
      <c r="E290" s="11" t="str">
        <f t="shared" si="16"/>
        <v>'=HLOOKUP($J$3,$E$3:$H$243,46,FALSE)</v>
      </c>
      <c r="Y290" s="11" t="s">
        <v>47</v>
      </c>
      <c r="Z290" s="11">
        <v>46</v>
      </c>
      <c r="AA290" s="29" t="s">
        <v>48</v>
      </c>
      <c r="AB290" s="11" t="str">
        <f t="shared" si="17"/>
        <v>'=HLOOKUP($J$3,$E$3:$H$243,46,FALSE)</v>
      </c>
    </row>
    <row r="291" spans="2:28" ht="12.75">
      <c r="B291" s="11" t="s">
        <v>47</v>
      </c>
      <c r="C291" s="11">
        <v>47</v>
      </c>
      <c r="D291" s="29" t="s">
        <v>48</v>
      </c>
      <c r="E291" s="11" t="str">
        <f t="shared" si="16"/>
        <v>'=HLOOKUP($J$3,$E$3:$H$243,47,FALSE)</v>
      </c>
      <c r="Y291" s="11" t="s">
        <v>47</v>
      </c>
      <c r="Z291" s="11">
        <v>47</v>
      </c>
      <c r="AA291" s="29" t="s">
        <v>48</v>
      </c>
      <c r="AB291" s="11" t="str">
        <f t="shared" si="17"/>
        <v>'=HLOOKUP($J$3,$E$3:$H$243,47,FALSE)</v>
      </c>
    </row>
    <row r="292" spans="2:28" ht="12.75">
      <c r="B292" s="11" t="s">
        <v>47</v>
      </c>
      <c r="C292" s="11">
        <v>48</v>
      </c>
      <c r="D292" s="29" t="s">
        <v>48</v>
      </c>
      <c r="E292" s="11" t="str">
        <f t="shared" si="16"/>
        <v>'=HLOOKUP($J$3,$E$3:$H$243,48,FALSE)</v>
      </c>
      <c r="Y292" s="11" t="s">
        <v>47</v>
      </c>
      <c r="Z292" s="11">
        <v>48</v>
      </c>
      <c r="AA292" s="29" t="s">
        <v>48</v>
      </c>
      <c r="AB292" s="11" t="str">
        <f t="shared" si="17"/>
        <v>'=HLOOKUP($J$3,$E$3:$H$243,48,FALSE)</v>
      </c>
    </row>
    <row r="293" spans="2:28" ht="12.75">
      <c r="B293" s="11" t="s">
        <v>47</v>
      </c>
      <c r="C293" s="11">
        <v>49</v>
      </c>
      <c r="D293" s="29" t="s">
        <v>48</v>
      </c>
      <c r="E293" s="11" t="str">
        <f t="shared" si="16"/>
        <v>'=HLOOKUP($J$3,$E$3:$H$243,49,FALSE)</v>
      </c>
      <c r="Y293" s="11" t="s">
        <v>47</v>
      </c>
      <c r="Z293" s="11">
        <v>49</v>
      </c>
      <c r="AA293" s="29" t="s">
        <v>48</v>
      </c>
      <c r="AB293" s="11" t="str">
        <f t="shared" si="17"/>
        <v>'=HLOOKUP($J$3,$E$3:$H$243,49,FALSE)</v>
      </c>
    </row>
    <row r="294" spans="2:28" ht="12.75">
      <c r="B294" s="11" t="s">
        <v>47</v>
      </c>
      <c r="C294" s="11">
        <v>50</v>
      </c>
      <c r="D294" s="29" t="s">
        <v>48</v>
      </c>
      <c r="E294" s="11" t="str">
        <f t="shared" si="16"/>
        <v>'=HLOOKUP($J$3,$E$3:$H$243,50,FALSE)</v>
      </c>
      <c r="Y294" s="11" t="s">
        <v>47</v>
      </c>
      <c r="Z294" s="11">
        <v>50</v>
      </c>
      <c r="AA294" s="29" t="s">
        <v>48</v>
      </c>
      <c r="AB294" s="11" t="str">
        <f t="shared" si="17"/>
        <v>'=HLOOKUP($J$3,$E$3:$H$243,50,FALSE)</v>
      </c>
    </row>
    <row r="295" spans="2:28" ht="12.75">
      <c r="B295" s="11" t="s">
        <v>47</v>
      </c>
      <c r="C295" s="11">
        <v>51</v>
      </c>
      <c r="D295" s="29" t="s">
        <v>48</v>
      </c>
      <c r="E295" s="11" t="str">
        <f t="shared" si="16"/>
        <v>'=HLOOKUP($J$3,$E$3:$H$243,51,FALSE)</v>
      </c>
      <c r="Y295" s="11" t="s">
        <v>47</v>
      </c>
      <c r="Z295" s="11">
        <v>51</v>
      </c>
      <c r="AA295" s="29" t="s">
        <v>48</v>
      </c>
      <c r="AB295" s="11" t="str">
        <f t="shared" si="17"/>
        <v>'=HLOOKUP($J$3,$E$3:$H$243,51,FALSE)</v>
      </c>
    </row>
    <row r="296" spans="2:28" ht="12.75">
      <c r="B296" s="11" t="s">
        <v>47</v>
      </c>
      <c r="C296" s="11">
        <v>52</v>
      </c>
      <c r="D296" s="29" t="s">
        <v>48</v>
      </c>
      <c r="E296" s="11" t="str">
        <f t="shared" si="16"/>
        <v>'=HLOOKUP($J$3,$E$3:$H$243,52,FALSE)</v>
      </c>
      <c r="Y296" s="11" t="s">
        <v>47</v>
      </c>
      <c r="Z296" s="11">
        <v>52</v>
      </c>
      <c r="AA296" s="29" t="s">
        <v>48</v>
      </c>
      <c r="AB296" s="11" t="str">
        <f t="shared" si="17"/>
        <v>'=HLOOKUP($J$3,$E$3:$H$243,52,FALSE)</v>
      </c>
    </row>
    <row r="297" spans="2:28" ht="12.75">
      <c r="B297" s="11" t="s">
        <v>47</v>
      </c>
      <c r="C297" s="11">
        <v>53</v>
      </c>
      <c r="D297" s="29" t="s">
        <v>48</v>
      </c>
      <c r="E297" s="11" t="str">
        <f t="shared" si="16"/>
        <v>'=HLOOKUP($J$3,$E$3:$H$243,53,FALSE)</v>
      </c>
      <c r="Y297" s="11" t="s">
        <v>47</v>
      </c>
      <c r="Z297" s="11">
        <v>53</v>
      </c>
      <c r="AA297" s="29" t="s">
        <v>48</v>
      </c>
      <c r="AB297" s="11" t="str">
        <f t="shared" si="17"/>
        <v>'=HLOOKUP($J$3,$E$3:$H$243,53,FALSE)</v>
      </c>
    </row>
    <row r="298" spans="2:28" ht="12.75">
      <c r="B298" s="11" t="s">
        <v>47</v>
      </c>
      <c r="C298" s="11">
        <v>54</v>
      </c>
      <c r="D298" s="29" t="s">
        <v>48</v>
      </c>
      <c r="E298" s="11" t="str">
        <f t="shared" si="16"/>
        <v>'=HLOOKUP($J$3,$E$3:$H$243,54,FALSE)</v>
      </c>
      <c r="Y298" s="11" t="s">
        <v>47</v>
      </c>
      <c r="Z298" s="11">
        <v>54</v>
      </c>
      <c r="AA298" s="29" t="s">
        <v>48</v>
      </c>
      <c r="AB298" s="11" t="str">
        <f t="shared" si="17"/>
        <v>'=HLOOKUP($J$3,$E$3:$H$243,54,FALSE)</v>
      </c>
    </row>
    <row r="299" spans="2:28" ht="12.75">
      <c r="B299" s="11" t="s">
        <v>47</v>
      </c>
      <c r="C299" s="11">
        <v>55</v>
      </c>
      <c r="D299" s="29" t="s">
        <v>48</v>
      </c>
      <c r="E299" s="11" t="str">
        <f t="shared" si="16"/>
        <v>'=HLOOKUP($J$3,$E$3:$H$243,55,FALSE)</v>
      </c>
      <c r="Y299" s="11" t="s">
        <v>47</v>
      </c>
      <c r="Z299" s="11">
        <v>55</v>
      </c>
      <c r="AA299" s="29" t="s">
        <v>48</v>
      </c>
      <c r="AB299" s="11" t="str">
        <f t="shared" si="17"/>
        <v>'=HLOOKUP($J$3,$E$3:$H$243,55,FALSE)</v>
      </c>
    </row>
    <row r="300" spans="2:28" ht="12.75">
      <c r="B300" s="11" t="s">
        <v>47</v>
      </c>
      <c r="C300" s="11">
        <v>56</v>
      </c>
      <c r="D300" s="29" t="s">
        <v>48</v>
      </c>
      <c r="E300" s="11" t="str">
        <f t="shared" si="16"/>
        <v>'=HLOOKUP($J$3,$E$3:$H$243,56,FALSE)</v>
      </c>
      <c r="Y300" s="11" t="s">
        <v>47</v>
      </c>
      <c r="Z300" s="11">
        <v>56</v>
      </c>
      <c r="AA300" s="29" t="s">
        <v>48</v>
      </c>
      <c r="AB300" s="11" t="str">
        <f t="shared" si="17"/>
        <v>'=HLOOKUP($J$3,$E$3:$H$243,56,FALSE)</v>
      </c>
    </row>
    <row r="301" spans="2:28" ht="12.75">
      <c r="B301" s="11" t="s">
        <v>47</v>
      </c>
      <c r="C301" s="11">
        <v>57</v>
      </c>
      <c r="D301" s="29" t="s">
        <v>48</v>
      </c>
      <c r="E301" s="11" t="str">
        <f t="shared" si="16"/>
        <v>'=HLOOKUP($J$3,$E$3:$H$243,57,FALSE)</v>
      </c>
      <c r="Y301" s="11" t="s">
        <v>47</v>
      </c>
      <c r="Z301" s="11">
        <v>57</v>
      </c>
      <c r="AA301" s="29" t="s">
        <v>48</v>
      </c>
      <c r="AB301" s="11" t="str">
        <f t="shared" si="17"/>
        <v>'=HLOOKUP($J$3,$E$3:$H$243,57,FALSE)</v>
      </c>
    </row>
    <row r="302" spans="2:28" ht="12.75">
      <c r="B302" s="11" t="s">
        <v>47</v>
      </c>
      <c r="C302" s="11">
        <v>58</v>
      </c>
      <c r="D302" s="29" t="s">
        <v>48</v>
      </c>
      <c r="E302" s="11" t="str">
        <f t="shared" si="16"/>
        <v>'=HLOOKUP($J$3,$E$3:$H$243,58,FALSE)</v>
      </c>
      <c r="Y302" s="11" t="s">
        <v>47</v>
      </c>
      <c r="Z302" s="11">
        <v>58</v>
      </c>
      <c r="AA302" s="29" t="s">
        <v>48</v>
      </c>
      <c r="AB302" s="11" t="str">
        <f t="shared" si="17"/>
        <v>'=HLOOKUP($J$3,$E$3:$H$243,58,FALSE)</v>
      </c>
    </row>
    <row r="303" spans="2:28" ht="12.75">
      <c r="B303" s="11" t="s">
        <v>47</v>
      </c>
      <c r="C303" s="11">
        <v>59</v>
      </c>
      <c r="D303" s="29" t="s">
        <v>48</v>
      </c>
      <c r="E303" s="11" t="str">
        <f t="shared" si="16"/>
        <v>'=HLOOKUP($J$3,$E$3:$H$243,59,FALSE)</v>
      </c>
      <c r="Y303" s="11" t="s">
        <v>47</v>
      </c>
      <c r="Z303" s="11">
        <v>59</v>
      </c>
      <c r="AA303" s="29" t="s">
        <v>48</v>
      </c>
      <c r="AB303" s="11" t="str">
        <f t="shared" si="17"/>
        <v>'=HLOOKUP($J$3,$E$3:$H$243,59,FALSE)</v>
      </c>
    </row>
    <row r="304" spans="2:28" ht="12.75">
      <c r="B304" s="11" t="s">
        <v>47</v>
      </c>
      <c r="C304" s="11">
        <v>60</v>
      </c>
      <c r="D304" s="29" t="s">
        <v>48</v>
      </c>
      <c r="E304" s="11" t="str">
        <f t="shared" si="16"/>
        <v>'=HLOOKUP($J$3,$E$3:$H$243,60,FALSE)</v>
      </c>
      <c r="Y304" s="11" t="s">
        <v>47</v>
      </c>
      <c r="Z304" s="11">
        <v>60</v>
      </c>
      <c r="AA304" s="29" t="s">
        <v>48</v>
      </c>
      <c r="AB304" s="11" t="str">
        <f t="shared" si="17"/>
        <v>'=HLOOKUP($J$3,$E$3:$H$243,60,FALSE)</v>
      </c>
    </row>
    <row r="305" spans="2:28" ht="12.75">
      <c r="B305" s="11" t="s">
        <v>47</v>
      </c>
      <c r="C305" s="11">
        <v>61</v>
      </c>
      <c r="D305" s="29" t="s">
        <v>48</v>
      </c>
      <c r="E305" s="11" t="str">
        <f t="shared" si="16"/>
        <v>'=HLOOKUP($J$3,$E$3:$H$243,61,FALSE)</v>
      </c>
      <c r="Y305" s="11" t="s">
        <v>47</v>
      </c>
      <c r="Z305" s="11">
        <v>61</v>
      </c>
      <c r="AA305" s="29" t="s">
        <v>48</v>
      </c>
      <c r="AB305" s="11" t="str">
        <f t="shared" si="17"/>
        <v>'=HLOOKUP($J$3,$E$3:$H$243,61,FALSE)</v>
      </c>
    </row>
    <row r="306" spans="2:28" ht="12.75">
      <c r="B306" s="11" t="s">
        <v>47</v>
      </c>
      <c r="C306" s="11">
        <v>62</v>
      </c>
      <c r="D306" s="29" t="s">
        <v>48</v>
      </c>
      <c r="E306" s="11" t="str">
        <f t="shared" si="16"/>
        <v>'=HLOOKUP($J$3,$E$3:$H$243,62,FALSE)</v>
      </c>
      <c r="Y306" s="11" t="s">
        <v>47</v>
      </c>
      <c r="Z306" s="11">
        <v>62</v>
      </c>
      <c r="AA306" s="29" t="s">
        <v>48</v>
      </c>
      <c r="AB306" s="11" t="str">
        <f t="shared" si="17"/>
        <v>'=HLOOKUP($J$3,$E$3:$H$243,62,FALSE)</v>
      </c>
    </row>
    <row r="307" spans="2:28" ht="12.75">
      <c r="B307" s="11" t="s">
        <v>47</v>
      </c>
      <c r="C307" s="11">
        <v>63</v>
      </c>
      <c r="D307" s="29" t="s">
        <v>48</v>
      </c>
      <c r="E307" s="11" t="str">
        <f t="shared" si="16"/>
        <v>'=HLOOKUP($J$3,$E$3:$H$243,63,FALSE)</v>
      </c>
      <c r="Y307" s="11" t="s">
        <v>47</v>
      </c>
      <c r="Z307" s="11">
        <v>63</v>
      </c>
      <c r="AA307" s="29" t="s">
        <v>48</v>
      </c>
      <c r="AB307" s="11" t="str">
        <f t="shared" si="17"/>
        <v>'=HLOOKUP($J$3,$E$3:$H$243,63,FALSE)</v>
      </c>
    </row>
    <row r="308" spans="2:28" ht="12.75">
      <c r="B308" s="11" t="s">
        <v>47</v>
      </c>
      <c r="C308" s="11">
        <v>64</v>
      </c>
      <c r="D308" s="29" t="s">
        <v>48</v>
      </c>
      <c r="E308" s="11" t="str">
        <f t="shared" si="16"/>
        <v>'=HLOOKUP($J$3,$E$3:$H$243,64,FALSE)</v>
      </c>
      <c r="Y308" s="11" t="s">
        <v>47</v>
      </c>
      <c r="Z308" s="11">
        <v>64</v>
      </c>
      <c r="AA308" s="29" t="s">
        <v>48</v>
      </c>
      <c r="AB308" s="11" t="str">
        <f t="shared" si="17"/>
        <v>'=HLOOKUP($J$3,$E$3:$H$243,64,FALSE)</v>
      </c>
    </row>
    <row r="309" spans="2:28" ht="12.75">
      <c r="B309" s="11" t="s">
        <v>47</v>
      </c>
      <c r="C309" s="11">
        <v>65</v>
      </c>
      <c r="D309" s="29" t="s">
        <v>48</v>
      </c>
      <c r="E309" s="11" t="str">
        <f t="shared" si="16"/>
        <v>'=HLOOKUP($J$3,$E$3:$H$243,65,FALSE)</v>
      </c>
      <c r="Y309" s="11" t="s">
        <v>47</v>
      </c>
      <c r="Z309" s="11">
        <v>65</v>
      </c>
      <c r="AA309" s="29" t="s">
        <v>48</v>
      </c>
      <c r="AB309" s="11" t="str">
        <f t="shared" si="17"/>
        <v>'=HLOOKUP($J$3,$E$3:$H$243,65,FALSE)</v>
      </c>
    </row>
    <row r="310" spans="2:28" ht="12.75">
      <c r="B310" s="11" t="s">
        <v>47</v>
      </c>
      <c r="C310" s="11">
        <v>66</v>
      </c>
      <c r="D310" s="29" t="s">
        <v>48</v>
      </c>
      <c r="E310" s="11" t="str">
        <f t="shared" si="16"/>
        <v>'=HLOOKUP($J$3,$E$3:$H$243,66,FALSE)</v>
      </c>
      <c r="Y310" s="11" t="s">
        <v>47</v>
      </c>
      <c r="Z310" s="11">
        <v>66</v>
      </c>
      <c r="AA310" s="29" t="s">
        <v>48</v>
      </c>
      <c r="AB310" s="11" t="str">
        <f t="shared" si="17"/>
        <v>'=HLOOKUP($J$3,$E$3:$H$243,66,FALSE)</v>
      </c>
    </row>
    <row r="311" spans="2:28" ht="12.75">
      <c r="B311" s="11" t="s">
        <v>47</v>
      </c>
      <c r="C311" s="11">
        <v>67</v>
      </c>
      <c r="D311" s="29" t="s">
        <v>48</v>
      </c>
      <c r="E311" s="11" t="str">
        <f t="shared" si="16"/>
        <v>'=HLOOKUP($J$3,$E$3:$H$243,67,FALSE)</v>
      </c>
      <c r="Y311" s="11" t="s">
        <v>47</v>
      </c>
      <c r="Z311" s="11">
        <v>67</v>
      </c>
      <c r="AA311" s="29" t="s">
        <v>48</v>
      </c>
      <c r="AB311" s="11" t="str">
        <f t="shared" si="17"/>
        <v>'=HLOOKUP($J$3,$E$3:$H$243,67,FALSE)</v>
      </c>
    </row>
    <row r="312" spans="2:28" ht="12.75">
      <c r="B312" s="11" t="s">
        <v>47</v>
      </c>
      <c r="C312" s="11">
        <v>68</v>
      </c>
      <c r="D312" s="29" t="s">
        <v>48</v>
      </c>
      <c r="E312" s="11" t="str">
        <f t="shared" si="16"/>
        <v>'=HLOOKUP($J$3,$E$3:$H$243,68,FALSE)</v>
      </c>
      <c r="Y312" s="11" t="s">
        <v>47</v>
      </c>
      <c r="Z312" s="11">
        <v>68</v>
      </c>
      <c r="AA312" s="29" t="s">
        <v>48</v>
      </c>
      <c r="AB312" s="11" t="str">
        <f t="shared" si="17"/>
        <v>'=HLOOKUP($J$3,$E$3:$H$243,68,FALSE)</v>
      </c>
    </row>
    <row r="313" spans="2:28" ht="12.75">
      <c r="B313" s="11" t="s">
        <v>47</v>
      </c>
      <c r="C313" s="11">
        <v>69</v>
      </c>
      <c r="D313" s="29" t="s">
        <v>48</v>
      </c>
      <c r="E313" s="11" t="str">
        <f aca="true" t="shared" si="18" ref="E313:E376">CONCATENATE(B313,C313,D313)</f>
        <v>'=HLOOKUP($J$3,$E$3:$H$243,69,FALSE)</v>
      </c>
      <c r="Y313" s="11" t="s">
        <v>47</v>
      </c>
      <c r="Z313" s="11">
        <v>69</v>
      </c>
      <c r="AA313" s="29" t="s">
        <v>48</v>
      </c>
      <c r="AB313" s="11" t="str">
        <f aca="true" t="shared" si="19" ref="AB313:AB376">CONCATENATE(Y313,Z313,AA313)</f>
        <v>'=HLOOKUP($J$3,$E$3:$H$243,69,FALSE)</v>
      </c>
    </row>
    <row r="314" spans="2:28" ht="12.75">
      <c r="B314" s="11" t="s">
        <v>47</v>
      </c>
      <c r="C314" s="11">
        <v>70</v>
      </c>
      <c r="D314" s="29" t="s">
        <v>48</v>
      </c>
      <c r="E314" s="11" t="str">
        <f t="shared" si="18"/>
        <v>'=HLOOKUP($J$3,$E$3:$H$243,70,FALSE)</v>
      </c>
      <c r="Y314" s="11" t="s">
        <v>47</v>
      </c>
      <c r="Z314" s="11">
        <v>70</v>
      </c>
      <c r="AA314" s="29" t="s">
        <v>48</v>
      </c>
      <c r="AB314" s="11" t="str">
        <f t="shared" si="19"/>
        <v>'=HLOOKUP($J$3,$E$3:$H$243,70,FALSE)</v>
      </c>
    </row>
    <row r="315" spans="2:28" ht="12.75">
      <c r="B315" s="11" t="s">
        <v>47</v>
      </c>
      <c r="C315" s="11">
        <v>71</v>
      </c>
      <c r="D315" s="29" t="s">
        <v>48</v>
      </c>
      <c r="E315" s="11" t="str">
        <f t="shared" si="18"/>
        <v>'=HLOOKUP($J$3,$E$3:$H$243,71,FALSE)</v>
      </c>
      <c r="Y315" s="11" t="s">
        <v>47</v>
      </c>
      <c r="Z315" s="11">
        <v>71</v>
      </c>
      <c r="AA315" s="29" t="s">
        <v>48</v>
      </c>
      <c r="AB315" s="11" t="str">
        <f t="shared" si="19"/>
        <v>'=HLOOKUP($J$3,$E$3:$H$243,71,FALSE)</v>
      </c>
    </row>
    <row r="316" spans="2:28" ht="12.75">
      <c r="B316" s="11" t="s">
        <v>47</v>
      </c>
      <c r="C316" s="11">
        <v>72</v>
      </c>
      <c r="D316" s="29" t="s">
        <v>48</v>
      </c>
      <c r="E316" s="11" t="str">
        <f t="shared" si="18"/>
        <v>'=HLOOKUP($J$3,$E$3:$H$243,72,FALSE)</v>
      </c>
      <c r="Y316" s="11" t="s">
        <v>47</v>
      </c>
      <c r="Z316" s="11">
        <v>72</v>
      </c>
      <c r="AA316" s="29" t="s">
        <v>48</v>
      </c>
      <c r="AB316" s="11" t="str">
        <f t="shared" si="19"/>
        <v>'=HLOOKUP($J$3,$E$3:$H$243,72,FALSE)</v>
      </c>
    </row>
    <row r="317" spans="2:28" ht="12.75">
      <c r="B317" s="11" t="s">
        <v>47</v>
      </c>
      <c r="C317" s="11">
        <v>73</v>
      </c>
      <c r="D317" s="29" t="s">
        <v>48</v>
      </c>
      <c r="E317" s="11" t="str">
        <f t="shared" si="18"/>
        <v>'=HLOOKUP($J$3,$E$3:$H$243,73,FALSE)</v>
      </c>
      <c r="Y317" s="11" t="s">
        <v>47</v>
      </c>
      <c r="Z317" s="11">
        <v>73</v>
      </c>
      <c r="AA317" s="29" t="s">
        <v>48</v>
      </c>
      <c r="AB317" s="11" t="str">
        <f t="shared" si="19"/>
        <v>'=HLOOKUP($J$3,$E$3:$H$243,73,FALSE)</v>
      </c>
    </row>
    <row r="318" spans="2:28" ht="12.75">
      <c r="B318" s="11" t="s">
        <v>47</v>
      </c>
      <c r="C318" s="11">
        <v>74</v>
      </c>
      <c r="D318" s="29" t="s">
        <v>48</v>
      </c>
      <c r="E318" s="11" t="str">
        <f t="shared" si="18"/>
        <v>'=HLOOKUP($J$3,$E$3:$H$243,74,FALSE)</v>
      </c>
      <c r="Y318" s="11" t="s">
        <v>47</v>
      </c>
      <c r="Z318" s="11">
        <v>74</v>
      </c>
      <c r="AA318" s="29" t="s">
        <v>48</v>
      </c>
      <c r="AB318" s="11" t="str">
        <f t="shared" si="19"/>
        <v>'=HLOOKUP($J$3,$E$3:$H$243,74,FALSE)</v>
      </c>
    </row>
    <row r="319" spans="2:28" ht="12.75">
      <c r="B319" s="11" t="s">
        <v>47</v>
      </c>
      <c r="C319" s="11">
        <v>75</v>
      </c>
      <c r="D319" s="29" t="s">
        <v>48</v>
      </c>
      <c r="E319" s="11" t="str">
        <f t="shared" si="18"/>
        <v>'=HLOOKUP($J$3,$E$3:$H$243,75,FALSE)</v>
      </c>
      <c r="Y319" s="11" t="s">
        <v>47</v>
      </c>
      <c r="Z319" s="11">
        <v>75</v>
      </c>
      <c r="AA319" s="29" t="s">
        <v>48</v>
      </c>
      <c r="AB319" s="11" t="str">
        <f t="shared" si="19"/>
        <v>'=HLOOKUP($J$3,$E$3:$H$243,75,FALSE)</v>
      </c>
    </row>
    <row r="320" spans="2:28" ht="12.75">
      <c r="B320" s="11" t="s">
        <v>47</v>
      </c>
      <c r="C320" s="11">
        <v>76</v>
      </c>
      <c r="D320" s="29" t="s">
        <v>48</v>
      </c>
      <c r="E320" s="11" t="str">
        <f t="shared" si="18"/>
        <v>'=HLOOKUP($J$3,$E$3:$H$243,76,FALSE)</v>
      </c>
      <c r="Y320" s="11" t="s">
        <v>47</v>
      </c>
      <c r="Z320" s="11">
        <v>76</v>
      </c>
      <c r="AA320" s="29" t="s">
        <v>48</v>
      </c>
      <c r="AB320" s="11" t="str">
        <f t="shared" si="19"/>
        <v>'=HLOOKUP($J$3,$E$3:$H$243,76,FALSE)</v>
      </c>
    </row>
    <row r="321" spans="2:28" ht="12.75">
      <c r="B321" s="11" t="s">
        <v>47</v>
      </c>
      <c r="C321" s="11">
        <v>77</v>
      </c>
      <c r="D321" s="29" t="s">
        <v>48</v>
      </c>
      <c r="E321" s="11" t="str">
        <f t="shared" si="18"/>
        <v>'=HLOOKUP($J$3,$E$3:$H$243,77,FALSE)</v>
      </c>
      <c r="Y321" s="11" t="s">
        <v>47</v>
      </c>
      <c r="Z321" s="11">
        <v>77</v>
      </c>
      <c r="AA321" s="29" t="s">
        <v>48</v>
      </c>
      <c r="AB321" s="11" t="str">
        <f t="shared" si="19"/>
        <v>'=HLOOKUP($J$3,$E$3:$H$243,77,FALSE)</v>
      </c>
    </row>
    <row r="322" spans="2:28" ht="12.75">
      <c r="B322" s="11" t="s">
        <v>47</v>
      </c>
      <c r="C322" s="11">
        <v>78</v>
      </c>
      <c r="D322" s="29" t="s">
        <v>48</v>
      </c>
      <c r="E322" s="11" t="str">
        <f t="shared" si="18"/>
        <v>'=HLOOKUP($J$3,$E$3:$H$243,78,FALSE)</v>
      </c>
      <c r="Y322" s="11" t="s">
        <v>47</v>
      </c>
      <c r="Z322" s="11">
        <v>78</v>
      </c>
      <c r="AA322" s="29" t="s">
        <v>48</v>
      </c>
      <c r="AB322" s="11" t="str">
        <f t="shared" si="19"/>
        <v>'=HLOOKUP($J$3,$E$3:$H$243,78,FALSE)</v>
      </c>
    </row>
    <row r="323" spans="2:28" ht="12.75">
      <c r="B323" s="11" t="s">
        <v>47</v>
      </c>
      <c r="C323" s="11">
        <v>79</v>
      </c>
      <c r="D323" s="29" t="s">
        <v>48</v>
      </c>
      <c r="E323" s="11" t="str">
        <f t="shared" si="18"/>
        <v>'=HLOOKUP($J$3,$E$3:$H$243,79,FALSE)</v>
      </c>
      <c r="Y323" s="11" t="s">
        <v>47</v>
      </c>
      <c r="Z323" s="11">
        <v>79</v>
      </c>
      <c r="AA323" s="29" t="s">
        <v>48</v>
      </c>
      <c r="AB323" s="11" t="str">
        <f t="shared" si="19"/>
        <v>'=HLOOKUP($J$3,$E$3:$H$243,79,FALSE)</v>
      </c>
    </row>
    <row r="324" spans="2:28" ht="12.75">
      <c r="B324" s="11" t="s">
        <v>47</v>
      </c>
      <c r="C324" s="11">
        <v>80</v>
      </c>
      <c r="D324" s="29" t="s">
        <v>48</v>
      </c>
      <c r="E324" s="11" t="str">
        <f t="shared" si="18"/>
        <v>'=HLOOKUP($J$3,$E$3:$H$243,80,FALSE)</v>
      </c>
      <c r="Y324" s="11" t="s">
        <v>47</v>
      </c>
      <c r="Z324" s="11">
        <v>80</v>
      </c>
      <c r="AA324" s="29" t="s">
        <v>48</v>
      </c>
      <c r="AB324" s="11" t="str">
        <f t="shared" si="19"/>
        <v>'=HLOOKUP($J$3,$E$3:$H$243,80,FALSE)</v>
      </c>
    </row>
    <row r="325" spans="2:28" ht="12.75">
      <c r="B325" s="11" t="s">
        <v>47</v>
      </c>
      <c r="C325" s="11">
        <v>81</v>
      </c>
      <c r="D325" s="29" t="s">
        <v>48</v>
      </c>
      <c r="E325" s="11" t="str">
        <f t="shared" si="18"/>
        <v>'=HLOOKUP($J$3,$E$3:$H$243,81,FALSE)</v>
      </c>
      <c r="Y325" s="11" t="s">
        <v>47</v>
      </c>
      <c r="Z325" s="11">
        <v>81</v>
      </c>
      <c r="AA325" s="29" t="s">
        <v>48</v>
      </c>
      <c r="AB325" s="11" t="str">
        <f t="shared" si="19"/>
        <v>'=HLOOKUP($J$3,$E$3:$H$243,81,FALSE)</v>
      </c>
    </row>
    <row r="326" spans="2:28" ht="12.75">
      <c r="B326" s="11" t="s">
        <v>47</v>
      </c>
      <c r="C326" s="11">
        <v>82</v>
      </c>
      <c r="D326" s="29" t="s">
        <v>48</v>
      </c>
      <c r="E326" s="11" t="str">
        <f t="shared" si="18"/>
        <v>'=HLOOKUP($J$3,$E$3:$H$243,82,FALSE)</v>
      </c>
      <c r="Y326" s="11" t="s">
        <v>47</v>
      </c>
      <c r="Z326" s="11">
        <v>82</v>
      </c>
      <c r="AA326" s="29" t="s">
        <v>48</v>
      </c>
      <c r="AB326" s="11" t="str">
        <f t="shared" si="19"/>
        <v>'=HLOOKUP($J$3,$E$3:$H$243,82,FALSE)</v>
      </c>
    </row>
    <row r="327" spans="2:28" ht="12.75">
      <c r="B327" s="11" t="s">
        <v>47</v>
      </c>
      <c r="C327" s="11">
        <v>83</v>
      </c>
      <c r="D327" s="29" t="s">
        <v>48</v>
      </c>
      <c r="E327" s="11" t="str">
        <f t="shared" si="18"/>
        <v>'=HLOOKUP($J$3,$E$3:$H$243,83,FALSE)</v>
      </c>
      <c r="Y327" s="11" t="s">
        <v>47</v>
      </c>
      <c r="Z327" s="11">
        <v>83</v>
      </c>
      <c r="AA327" s="29" t="s">
        <v>48</v>
      </c>
      <c r="AB327" s="11" t="str">
        <f t="shared" si="19"/>
        <v>'=HLOOKUP($J$3,$E$3:$H$243,83,FALSE)</v>
      </c>
    </row>
    <row r="328" spans="2:28" ht="12.75">
      <c r="B328" s="11" t="s">
        <v>47</v>
      </c>
      <c r="C328" s="11">
        <v>84</v>
      </c>
      <c r="D328" s="29" t="s">
        <v>48</v>
      </c>
      <c r="E328" s="11" t="str">
        <f t="shared" si="18"/>
        <v>'=HLOOKUP($J$3,$E$3:$H$243,84,FALSE)</v>
      </c>
      <c r="Y328" s="11" t="s">
        <v>47</v>
      </c>
      <c r="Z328" s="11">
        <v>84</v>
      </c>
      <c r="AA328" s="29" t="s">
        <v>48</v>
      </c>
      <c r="AB328" s="11" t="str">
        <f t="shared" si="19"/>
        <v>'=HLOOKUP($J$3,$E$3:$H$243,84,FALSE)</v>
      </c>
    </row>
    <row r="329" spans="2:28" ht="12.75">
      <c r="B329" s="11" t="s">
        <v>47</v>
      </c>
      <c r="C329" s="11">
        <v>85</v>
      </c>
      <c r="D329" s="29" t="s">
        <v>48</v>
      </c>
      <c r="E329" s="11" t="str">
        <f t="shared" si="18"/>
        <v>'=HLOOKUP($J$3,$E$3:$H$243,85,FALSE)</v>
      </c>
      <c r="Y329" s="11" t="s">
        <v>47</v>
      </c>
      <c r="Z329" s="11">
        <v>85</v>
      </c>
      <c r="AA329" s="29" t="s">
        <v>48</v>
      </c>
      <c r="AB329" s="11" t="str">
        <f t="shared" si="19"/>
        <v>'=HLOOKUP($J$3,$E$3:$H$243,85,FALSE)</v>
      </c>
    </row>
    <row r="330" spans="2:28" ht="12.75">
      <c r="B330" s="11" t="s">
        <v>47</v>
      </c>
      <c r="C330" s="11">
        <v>86</v>
      </c>
      <c r="D330" s="29" t="s">
        <v>48</v>
      </c>
      <c r="E330" s="11" t="str">
        <f t="shared" si="18"/>
        <v>'=HLOOKUP($J$3,$E$3:$H$243,86,FALSE)</v>
      </c>
      <c r="Y330" s="11" t="s">
        <v>47</v>
      </c>
      <c r="Z330" s="11">
        <v>86</v>
      </c>
      <c r="AA330" s="29" t="s">
        <v>48</v>
      </c>
      <c r="AB330" s="11" t="str">
        <f t="shared" si="19"/>
        <v>'=HLOOKUP($J$3,$E$3:$H$243,86,FALSE)</v>
      </c>
    </row>
    <row r="331" spans="2:28" ht="12.75">
      <c r="B331" s="11" t="s">
        <v>47</v>
      </c>
      <c r="C331" s="11">
        <v>87</v>
      </c>
      <c r="D331" s="29" t="s">
        <v>48</v>
      </c>
      <c r="E331" s="11" t="str">
        <f t="shared" si="18"/>
        <v>'=HLOOKUP($J$3,$E$3:$H$243,87,FALSE)</v>
      </c>
      <c r="Y331" s="11" t="s">
        <v>47</v>
      </c>
      <c r="Z331" s="11">
        <v>87</v>
      </c>
      <c r="AA331" s="29" t="s">
        <v>48</v>
      </c>
      <c r="AB331" s="11" t="str">
        <f t="shared" si="19"/>
        <v>'=HLOOKUP($J$3,$E$3:$H$243,87,FALSE)</v>
      </c>
    </row>
    <row r="332" spans="2:28" ht="12.75">
      <c r="B332" s="11" t="s">
        <v>47</v>
      </c>
      <c r="C332" s="11">
        <v>88</v>
      </c>
      <c r="D332" s="29" t="s">
        <v>48</v>
      </c>
      <c r="E332" s="11" t="str">
        <f t="shared" si="18"/>
        <v>'=HLOOKUP($J$3,$E$3:$H$243,88,FALSE)</v>
      </c>
      <c r="Y332" s="11" t="s">
        <v>47</v>
      </c>
      <c r="Z332" s="11">
        <v>88</v>
      </c>
      <c r="AA332" s="29" t="s">
        <v>48</v>
      </c>
      <c r="AB332" s="11" t="str">
        <f t="shared" si="19"/>
        <v>'=HLOOKUP($J$3,$E$3:$H$243,88,FALSE)</v>
      </c>
    </row>
    <row r="333" spans="2:28" ht="12.75">
      <c r="B333" s="11" t="s">
        <v>47</v>
      </c>
      <c r="C333" s="11">
        <v>89</v>
      </c>
      <c r="D333" s="29" t="s">
        <v>48</v>
      </c>
      <c r="E333" s="11" t="str">
        <f t="shared" si="18"/>
        <v>'=HLOOKUP($J$3,$E$3:$H$243,89,FALSE)</v>
      </c>
      <c r="Y333" s="11" t="s">
        <v>47</v>
      </c>
      <c r="Z333" s="11">
        <v>89</v>
      </c>
      <c r="AA333" s="29" t="s">
        <v>48</v>
      </c>
      <c r="AB333" s="11" t="str">
        <f t="shared" si="19"/>
        <v>'=HLOOKUP($J$3,$E$3:$H$243,89,FALSE)</v>
      </c>
    </row>
    <row r="334" spans="2:28" ht="12.75">
      <c r="B334" s="11" t="s">
        <v>47</v>
      </c>
      <c r="C334" s="11">
        <v>90</v>
      </c>
      <c r="D334" s="29" t="s">
        <v>48</v>
      </c>
      <c r="E334" s="11" t="str">
        <f t="shared" si="18"/>
        <v>'=HLOOKUP($J$3,$E$3:$H$243,90,FALSE)</v>
      </c>
      <c r="Y334" s="11" t="s">
        <v>47</v>
      </c>
      <c r="Z334" s="11">
        <v>90</v>
      </c>
      <c r="AA334" s="29" t="s">
        <v>48</v>
      </c>
      <c r="AB334" s="11" t="str">
        <f t="shared" si="19"/>
        <v>'=HLOOKUP($J$3,$E$3:$H$243,90,FALSE)</v>
      </c>
    </row>
    <row r="335" spans="2:28" ht="12.75">
      <c r="B335" s="11" t="s">
        <v>47</v>
      </c>
      <c r="C335" s="11">
        <v>91</v>
      </c>
      <c r="D335" s="29" t="s">
        <v>48</v>
      </c>
      <c r="E335" s="11" t="str">
        <f t="shared" si="18"/>
        <v>'=HLOOKUP($J$3,$E$3:$H$243,91,FALSE)</v>
      </c>
      <c r="Y335" s="11" t="s">
        <v>47</v>
      </c>
      <c r="Z335" s="11">
        <v>91</v>
      </c>
      <c r="AA335" s="29" t="s">
        <v>48</v>
      </c>
      <c r="AB335" s="11" t="str">
        <f t="shared" si="19"/>
        <v>'=HLOOKUP($J$3,$E$3:$H$243,91,FALSE)</v>
      </c>
    </row>
    <row r="336" spans="2:28" ht="12.75">
      <c r="B336" s="11" t="s">
        <v>47</v>
      </c>
      <c r="C336" s="11">
        <v>92</v>
      </c>
      <c r="D336" s="29" t="s">
        <v>48</v>
      </c>
      <c r="E336" s="11" t="str">
        <f t="shared" si="18"/>
        <v>'=HLOOKUP($J$3,$E$3:$H$243,92,FALSE)</v>
      </c>
      <c r="Y336" s="11" t="s">
        <v>47</v>
      </c>
      <c r="Z336" s="11">
        <v>92</v>
      </c>
      <c r="AA336" s="29" t="s">
        <v>48</v>
      </c>
      <c r="AB336" s="11" t="str">
        <f t="shared" si="19"/>
        <v>'=HLOOKUP($J$3,$E$3:$H$243,92,FALSE)</v>
      </c>
    </row>
    <row r="337" spans="2:28" ht="12.75">
      <c r="B337" s="11" t="s">
        <v>47</v>
      </c>
      <c r="C337" s="11">
        <v>93</v>
      </c>
      <c r="D337" s="29" t="s">
        <v>48</v>
      </c>
      <c r="E337" s="11" t="str">
        <f t="shared" si="18"/>
        <v>'=HLOOKUP($J$3,$E$3:$H$243,93,FALSE)</v>
      </c>
      <c r="Y337" s="11" t="s">
        <v>47</v>
      </c>
      <c r="Z337" s="11">
        <v>93</v>
      </c>
      <c r="AA337" s="29" t="s">
        <v>48</v>
      </c>
      <c r="AB337" s="11" t="str">
        <f t="shared" si="19"/>
        <v>'=HLOOKUP($J$3,$E$3:$H$243,93,FALSE)</v>
      </c>
    </row>
    <row r="338" spans="2:28" ht="12.75">
      <c r="B338" s="11" t="s">
        <v>47</v>
      </c>
      <c r="C338" s="11">
        <v>94</v>
      </c>
      <c r="D338" s="29" t="s">
        <v>48</v>
      </c>
      <c r="E338" s="11" t="str">
        <f t="shared" si="18"/>
        <v>'=HLOOKUP($J$3,$E$3:$H$243,94,FALSE)</v>
      </c>
      <c r="Y338" s="11" t="s">
        <v>47</v>
      </c>
      <c r="Z338" s="11">
        <v>94</v>
      </c>
      <c r="AA338" s="29" t="s">
        <v>48</v>
      </c>
      <c r="AB338" s="11" t="str">
        <f t="shared" si="19"/>
        <v>'=HLOOKUP($J$3,$E$3:$H$243,94,FALSE)</v>
      </c>
    </row>
    <row r="339" spans="2:28" ht="12.75">
      <c r="B339" s="11" t="s">
        <v>47</v>
      </c>
      <c r="C339" s="11">
        <v>95</v>
      </c>
      <c r="D339" s="29" t="s">
        <v>48</v>
      </c>
      <c r="E339" s="11" t="str">
        <f t="shared" si="18"/>
        <v>'=HLOOKUP($J$3,$E$3:$H$243,95,FALSE)</v>
      </c>
      <c r="Y339" s="11" t="s">
        <v>47</v>
      </c>
      <c r="Z339" s="11">
        <v>95</v>
      </c>
      <c r="AA339" s="29" t="s">
        <v>48</v>
      </c>
      <c r="AB339" s="11" t="str">
        <f t="shared" si="19"/>
        <v>'=HLOOKUP($J$3,$E$3:$H$243,95,FALSE)</v>
      </c>
    </row>
    <row r="340" spans="2:28" ht="12.75">
      <c r="B340" s="11" t="s">
        <v>47</v>
      </c>
      <c r="C340" s="11">
        <v>96</v>
      </c>
      <c r="D340" s="29" t="s">
        <v>48</v>
      </c>
      <c r="E340" s="11" t="str">
        <f t="shared" si="18"/>
        <v>'=HLOOKUP($J$3,$E$3:$H$243,96,FALSE)</v>
      </c>
      <c r="Y340" s="11" t="s">
        <v>47</v>
      </c>
      <c r="Z340" s="11">
        <v>96</v>
      </c>
      <c r="AA340" s="29" t="s">
        <v>48</v>
      </c>
      <c r="AB340" s="11" t="str">
        <f t="shared" si="19"/>
        <v>'=HLOOKUP($J$3,$E$3:$H$243,96,FALSE)</v>
      </c>
    </row>
    <row r="341" spans="2:28" ht="12.75">
      <c r="B341" s="11" t="s">
        <v>47</v>
      </c>
      <c r="C341" s="11">
        <v>97</v>
      </c>
      <c r="D341" s="29" t="s">
        <v>48</v>
      </c>
      <c r="E341" s="11" t="str">
        <f t="shared" si="18"/>
        <v>'=HLOOKUP($J$3,$E$3:$H$243,97,FALSE)</v>
      </c>
      <c r="Y341" s="11" t="s">
        <v>47</v>
      </c>
      <c r="Z341" s="11">
        <v>97</v>
      </c>
      <c r="AA341" s="29" t="s">
        <v>48</v>
      </c>
      <c r="AB341" s="11" t="str">
        <f t="shared" si="19"/>
        <v>'=HLOOKUP($J$3,$E$3:$H$243,97,FALSE)</v>
      </c>
    </row>
    <row r="342" spans="2:28" ht="12.75">
      <c r="B342" s="11" t="s">
        <v>47</v>
      </c>
      <c r="C342" s="11">
        <v>98</v>
      </c>
      <c r="D342" s="29" t="s">
        <v>48</v>
      </c>
      <c r="E342" s="11" t="str">
        <f t="shared" si="18"/>
        <v>'=HLOOKUP($J$3,$E$3:$H$243,98,FALSE)</v>
      </c>
      <c r="Y342" s="11" t="s">
        <v>47</v>
      </c>
      <c r="Z342" s="11">
        <v>98</v>
      </c>
      <c r="AA342" s="29" t="s">
        <v>48</v>
      </c>
      <c r="AB342" s="11" t="str">
        <f t="shared" si="19"/>
        <v>'=HLOOKUP($J$3,$E$3:$H$243,98,FALSE)</v>
      </c>
    </row>
    <row r="343" spans="2:28" ht="12.75">
      <c r="B343" s="11" t="s">
        <v>47</v>
      </c>
      <c r="C343" s="11">
        <v>99</v>
      </c>
      <c r="D343" s="29" t="s">
        <v>48</v>
      </c>
      <c r="E343" s="11" t="str">
        <f t="shared" si="18"/>
        <v>'=HLOOKUP($J$3,$E$3:$H$243,99,FALSE)</v>
      </c>
      <c r="Y343" s="11" t="s">
        <v>47</v>
      </c>
      <c r="Z343" s="11">
        <v>99</v>
      </c>
      <c r="AA343" s="29" t="s">
        <v>48</v>
      </c>
      <c r="AB343" s="11" t="str">
        <f t="shared" si="19"/>
        <v>'=HLOOKUP($J$3,$E$3:$H$243,99,FALSE)</v>
      </c>
    </row>
    <row r="344" spans="2:28" ht="12.75">
      <c r="B344" s="11" t="s">
        <v>47</v>
      </c>
      <c r="C344" s="11">
        <v>100</v>
      </c>
      <c r="D344" s="29" t="s">
        <v>48</v>
      </c>
      <c r="E344" s="11" t="str">
        <f t="shared" si="18"/>
        <v>'=HLOOKUP($J$3,$E$3:$H$243,100,FALSE)</v>
      </c>
      <c r="Y344" s="11" t="s">
        <v>47</v>
      </c>
      <c r="Z344" s="11">
        <v>100</v>
      </c>
      <c r="AA344" s="29" t="s">
        <v>48</v>
      </c>
      <c r="AB344" s="11" t="str">
        <f t="shared" si="19"/>
        <v>'=HLOOKUP($J$3,$E$3:$H$243,100,FALSE)</v>
      </c>
    </row>
    <row r="345" spans="2:28" ht="12.75">
      <c r="B345" s="11" t="s">
        <v>47</v>
      </c>
      <c r="C345" s="11">
        <v>101</v>
      </c>
      <c r="D345" s="29" t="s">
        <v>48</v>
      </c>
      <c r="E345" s="11" t="str">
        <f t="shared" si="18"/>
        <v>'=HLOOKUP($J$3,$E$3:$H$243,101,FALSE)</v>
      </c>
      <c r="Y345" s="11" t="s">
        <v>47</v>
      </c>
      <c r="Z345" s="11">
        <v>101</v>
      </c>
      <c r="AA345" s="29" t="s">
        <v>48</v>
      </c>
      <c r="AB345" s="11" t="str">
        <f t="shared" si="19"/>
        <v>'=HLOOKUP($J$3,$E$3:$H$243,101,FALSE)</v>
      </c>
    </row>
    <row r="346" spans="2:28" ht="12.75">
      <c r="B346" s="11" t="s">
        <v>47</v>
      </c>
      <c r="C346" s="11">
        <v>102</v>
      </c>
      <c r="D346" s="29" t="s">
        <v>48</v>
      </c>
      <c r="E346" s="11" t="str">
        <f t="shared" si="18"/>
        <v>'=HLOOKUP($J$3,$E$3:$H$243,102,FALSE)</v>
      </c>
      <c r="Y346" s="11" t="s">
        <v>47</v>
      </c>
      <c r="Z346" s="11">
        <v>102</v>
      </c>
      <c r="AA346" s="29" t="s">
        <v>48</v>
      </c>
      <c r="AB346" s="11" t="str">
        <f t="shared" si="19"/>
        <v>'=HLOOKUP($J$3,$E$3:$H$243,102,FALSE)</v>
      </c>
    </row>
    <row r="347" spans="2:28" ht="12.75">
      <c r="B347" s="11" t="s">
        <v>47</v>
      </c>
      <c r="C347" s="11">
        <v>103</v>
      </c>
      <c r="D347" s="29" t="s">
        <v>48</v>
      </c>
      <c r="E347" s="11" t="str">
        <f t="shared" si="18"/>
        <v>'=HLOOKUP($J$3,$E$3:$H$243,103,FALSE)</v>
      </c>
      <c r="Y347" s="11" t="s">
        <v>47</v>
      </c>
      <c r="Z347" s="11">
        <v>103</v>
      </c>
      <c r="AA347" s="29" t="s">
        <v>48</v>
      </c>
      <c r="AB347" s="11" t="str">
        <f t="shared" si="19"/>
        <v>'=HLOOKUP($J$3,$E$3:$H$243,103,FALSE)</v>
      </c>
    </row>
    <row r="348" spans="2:28" ht="12.75">
      <c r="B348" s="11" t="s">
        <v>47</v>
      </c>
      <c r="C348" s="11">
        <v>104</v>
      </c>
      <c r="D348" s="29" t="s">
        <v>48</v>
      </c>
      <c r="E348" s="11" t="str">
        <f t="shared" si="18"/>
        <v>'=HLOOKUP($J$3,$E$3:$H$243,104,FALSE)</v>
      </c>
      <c r="Y348" s="11" t="s">
        <v>47</v>
      </c>
      <c r="Z348" s="11">
        <v>104</v>
      </c>
      <c r="AA348" s="29" t="s">
        <v>48</v>
      </c>
      <c r="AB348" s="11" t="str">
        <f t="shared" si="19"/>
        <v>'=HLOOKUP($J$3,$E$3:$H$243,104,FALSE)</v>
      </c>
    </row>
    <row r="349" spans="2:28" ht="12.75">
      <c r="B349" s="11" t="s">
        <v>47</v>
      </c>
      <c r="C349" s="11">
        <v>105</v>
      </c>
      <c r="D349" s="29" t="s">
        <v>48</v>
      </c>
      <c r="E349" s="11" t="str">
        <f t="shared" si="18"/>
        <v>'=HLOOKUP($J$3,$E$3:$H$243,105,FALSE)</v>
      </c>
      <c r="Y349" s="11" t="s">
        <v>47</v>
      </c>
      <c r="Z349" s="11">
        <v>105</v>
      </c>
      <c r="AA349" s="29" t="s">
        <v>48</v>
      </c>
      <c r="AB349" s="11" t="str">
        <f t="shared" si="19"/>
        <v>'=HLOOKUP($J$3,$E$3:$H$243,105,FALSE)</v>
      </c>
    </row>
    <row r="350" spans="2:28" ht="12.75">
      <c r="B350" s="11" t="s">
        <v>47</v>
      </c>
      <c r="C350" s="11">
        <v>106</v>
      </c>
      <c r="D350" s="29" t="s">
        <v>48</v>
      </c>
      <c r="E350" s="11" t="str">
        <f t="shared" si="18"/>
        <v>'=HLOOKUP($J$3,$E$3:$H$243,106,FALSE)</v>
      </c>
      <c r="Y350" s="11" t="s">
        <v>47</v>
      </c>
      <c r="Z350" s="11">
        <v>106</v>
      </c>
      <c r="AA350" s="29" t="s">
        <v>48</v>
      </c>
      <c r="AB350" s="11" t="str">
        <f t="shared" si="19"/>
        <v>'=HLOOKUP($J$3,$E$3:$H$243,106,FALSE)</v>
      </c>
    </row>
    <row r="351" spans="2:28" ht="12.75">
      <c r="B351" s="11" t="s">
        <v>47</v>
      </c>
      <c r="C351" s="11">
        <v>107</v>
      </c>
      <c r="D351" s="29" t="s">
        <v>48</v>
      </c>
      <c r="E351" s="11" t="str">
        <f t="shared" si="18"/>
        <v>'=HLOOKUP($J$3,$E$3:$H$243,107,FALSE)</v>
      </c>
      <c r="Y351" s="11" t="s">
        <v>47</v>
      </c>
      <c r="Z351" s="11">
        <v>107</v>
      </c>
      <c r="AA351" s="29" t="s">
        <v>48</v>
      </c>
      <c r="AB351" s="11" t="str">
        <f t="shared" si="19"/>
        <v>'=HLOOKUP($J$3,$E$3:$H$243,107,FALSE)</v>
      </c>
    </row>
    <row r="352" spans="2:28" ht="12.75">
      <c r="B352" s="11" t="s">
        <v>47</v>
      </c>
      <c r="C352" s="11">
        <v>108</v>
      </c>
      <c r="D352" s="29" t="s">
        <v>48</v>
      </c>
      <c r="E352" s="11" t="str">
        <f t="shared" si="18"/>
        <v>'=HLOOKUP($J$3,$E$3:$H$243,108,FALSE)</v>
      </c>
      <c r="Y352" s="11" t="s">
        <v>47</v>
      </c>
      <c r="Z352" s="11">
        <v>108</v>
      </c>
      <c r="AA352" s="29" t="s">
        <v>48</v>
      </c>
      <c r="AB352" s="11" t="str">
        <f t="shared" si="19"/>
        <v>'=HLOOKUP($J$3,$E$3:$H$243,108,FALSE)</v>
      </c>
    </row>
    <row r="353" spans="2:28" ht="12.75">
      <c r="B353" s="11" t="s">
        <v>47</v>
      </c>
      <c r="C353" s="11">
        <v>109</v>
      </c>
      <c r="D353" s="29" t="s">
        <v>48</v>
      </c>
      <c r="E353" s="11" t="str">
        <f t="shared" si="18"/>
        <v>'=HLOOKUP($J$3,$E$3:$H$243,109,FALSE)</v>
      </c>
      <c r="Y353" s="11" t="s">
        <v>47</v>
      </c>
      <c r="Z353" s="11">
        <v>109</v>
      </c>
      <c r="AA353" s="29" t="s">
        <v>48</v>
      </c>
      <c r="AB353" s="11" t="str">
        <f t="shared" si="19"/>
        <v>'=HLOOKUP($J$3,$E$3:$H$243,109,FALSE)</v>
      </c>
    </row>
    <row r="354" spans="2:28" ht="12.75">
      <c r="B354" s="11" t="s">
        <v>47</v>
      </c>
      <c r="C354" s="11">
        <v>110</v>
      </c>
      <c r="D354" s="29" t="s">
        <v>48</v>
      </c>
      <c r="E354" s="11" t="str">
        <f t="shared" si="18"/>
        <v>'=HLOOKUP($J$3,$E$3:$H$243,110,FALSE)</v>
      </c>
      <c r="Y354" s="11" t="s">
        <v>47</v>
      </c>
      <c r="Z354" s="11">
        <v>110</v>
      </c>
      <c r="AA354" s="29" t="s">
        <v>48</v>
      </c>
      <c r="AB354" s="11" t="str">
        <f t="shared" si="19"/>
        <v>'=HLOOKUP($J$3,$E$3:$H$243,110,FALSE)</v>
      </c>
    </row>
    <row r="355" spans="2:28" ht="12.75">
      <c r="B355" s="11" t="s">
        <v>47</v>
      </c>
      <c r="C355" s="11">
        <v>111</v>
      </c>
      <c r="D355" s="29" t="s">
        <v>48</v>
      </c>
      <c r="E355" s="11" t="str">
        <f t="shared" si="18"/>
        <v>'=HLOOKUP($J$3,$E$3:$H$243,111,FALSE)</v>
      </c>
      <c r="Y355" s="11" t="s">
        <v>47</v>
      </c>
      <c r="Z355" s="11">
        <v>111</v>
      </c>
      <c r="AA355" s="29" t="s">
        <v>48</v>
      </c>
      <c r="AB355" s="11" t="str">
        <f t="shared" si="19"/>
        <v>'=HLOOKUP($J$3,$E$3:$H$243,111,FALSE)</v>
      </c>
    </row>
    <row r="356" spans="2:28" ht="12.75">
      <c r="B356" s="11" t="s">
        <v>47</v>
      </c>
      <c r="C356" s="11">
        <v>112</v>
      </c>
      <c r="D356" s="29" t="s">
        <v>48</v>
      </c>
      <c r="E356" s="11" t="str">
        <f t="shared" si="18"/>
        <v>'=HLOOKUP($J$3,$E$3:$H$243,112,FALSE)</v>
      </c>
      <c r="Y356" s="11" t="s">
        <v>47</v>
      </c>
      <c r="Z356" s="11">
        <v>112</v>
      </c>
      <c r="AA356" s="29" t="s">
        <v>48</v>
      </c>
      <c r="AB356" s="11" t="str">
        <f t="shared" si="19"/>
        <v>'=HLOOKUP($J$3,$E$3:$H$243,112,FALSE)</v>
      </c>
    </row>
    <row r="357" spans="2:28" ht="12.75">
      <c r="B357" s="11" t="s">
        <v>47</v>
      </c>
      <c r="C357" s="11">
        <v>113</v>
      </c>
      <c r="D357" s="29" t="s">
        <v>48</v>
      </c>
      <c r="E357" s="11" t="str">
        <f t="shared" si="18"/>
        <v>'=HLOOKUP($J$3,$E$3:$H$243,113,FALSE)</v>
      </c>
      <c r="Y357" s="11" t="s">
        <v>47</v>
      </c>
      <c r="Z357" s="11">
        <v>113</v>
      </c>
      <c r="AA357" s="29" t="s">
        <v>48</v>
      </c>
      <c r="AB357" s="11" t="str">
        <f t="shared" si="19"/>
        <v>'=HLOOKUP($J$3,$E$3:$H$243,113,FALSE)</v>
      </c>
    </row>
    <row r="358" spans="2:28" ht="12.75">
      <c r="B358" s="11" t="s">
        <v>47</v>
      </c>
      <c r="C358" s="11">
        <v>114</v>
      </c>
      <c r="D358" s="29" t="s">
        <v>48</v>
      </c>
      <c r="E358" s="11" t="str">
        <f t="shared" si="18"/>
        <v>'=HLOOKUP($J$3,$E$3:$H$243,114,FALSE)</v>
      </c>
      <c r="Y358" s="11" t="s">
        <v>47</v>
      </c>
      <c r="Z358" s="11">
        <v>114</v>
      </c>
      <c r="AA358" s="29" t="s">
        <v>48</v>
      </c>
      <c r="AB358" s="11" t="str">
        <f t="shared" si="19"/>
        <v>'=HLOOKUP($J$3,$E$3:$H$243,114,FALSE)</v>
      </c>
    </row>
    <row r="359" spans="2:28" ht="12.75">
      <c r="B359" s="11" t="s">
        <v>47</v>
      </c>
      <c r="C359" s="11">
        <v>115</v>
      </c>
      <c r="D359" s="29" t="s">
        <v>48</v>
      </c>
      <c r="E359" s="11" t="str">
        <f t="shared" si="18"/>
        <v>'=HLOOKUP($J$3,$E$3:$H$243,115,FALSE)</v>
      </c>
      <c r="Y359" s="11" t="s">
        <v>47</v>
      </c>
      <c r="Z359" s="11">
        <v>115</v>
      </c>
      <c r="AA359" s="29" t="s">
        <v>48</v>
      </c>
      <c r="AB359" s="11" t="str">
        <f t="shared" si="19"/>
        <v>'=HLOOKUP($J$3,$E$3:$H$243,115,FALSE)</v>
      </c>
    </row>
    <row r="360" spans="2:28" ht="12.75">
      <c r="B360" s="11" t="s">
        <v>47</v>
      </c>
      <c r="C360" s="11">
        <v>116</v>
      </c>
      <c r="D360" s="29" t="s">
        <v>48</v>
      </c>
      <c r="E360" s="11" t="str">
        <f t="shared" si="18"/>
        <v>'=HLOOKUP($J$3,$E$3:$H$243,116,FALSE)</v>
      </c>
      <c r="Y360" s="11" t="s">
        <v>47</v>
      </c>
      <c r="Z360" s="11">
        <v>116</v>
      </c>
      <c r="AA360" s="29" t="s">
        <v>48</v>
      </c>
      <c r="AB360" s="11" t="str">
        <f t="shared" si="19"/>
        <v>'=HLOOKUP($J$3,$E$3:$H$243,116,FALSE)</v>
      </c>
    </row>
    <row r="361" spans="2:28" ht="12.75">
      <c r="B361" s="11" t="s">
        <v>47</v>
      </c>
      <c r="C361" s="11">
        <v>117</v>
      </c>
      <c r="D361" s="29" t="s">
        <v>48</v>
      </c>
      <c r="E361" s="11" t="str">
        <f t="shared" si="18"/>
        <v>'=HLOOKUP($J$3,$E$3:$H$243,117,FALSE)</v>
      </c>
      <c r="Y361" s="11" t="s">
        <v>47</v>
      </c>
      <c r="Z361" s="11">
        <v>117</v>
      </c>
      <c r="AA361" s="29" t="s">
        <v>48</v>
      </c>
      <c r="AB361" s="11" t="str">
        <f t="shared" si="19"/>
        <v>'=HLOOKUP($J$3,$E$3:$H$243,117,FALSE)</v>
      </c>
    </row>
    <row r="362" spans="2:28" ht="12.75">
      <c r="B362" s="11" t="s">
        <v>47</v>
      </c>
      <c r="C362" s="11">
        <v>118</v>
      </c>
      <c r="D362" s="29" t="s">
        <v>48</v>
      </c>
      <c r="E362" s="11" t="str">
        <f t="shared" si="18"/>
        <v>'=HLOOKUP($J$3,$E$3:$H$243,118,FALSE)</v>
      </c>
      <c r="Y362" s="11" t="s">
        <v>47</v>
      </c>
      <c r="Z362" s="11">
        <v>118</v>
      </c>
      <c r="AA362" s="29" t="s">
        <v>48</v>
      </c>
      <c r="AB362" s="11" t="str">
        <f t="shared" si="19"/>
        <v>'=HLOOKUP($J$3,$E$3:$H$243,118,FALSE)</v>
      </c>
    </row>
    <row r="363" spans="2:28" ht="12.75">
      <c r="B363" s="11" t="s">
        <v>47</v>
      </c>
      <c r="C363" s="11">
        <v>119</v>
      </c>
      <c r="D363" s="29" t="s">
        <v>48</v>
      </c>
      <c r="E363" s="11" t="str">
        <f t="shared" si="18"/>
        <v>'=HLOOKUP($J$3,$E$3:$H$243,119,FALSE)</v>
      </c>
      <c r="Y363" s="11" t="s">
        <v>47</v>
      </c>
      <c r="Z363" s="11">
        <v>119</v>
      </c>
      <c r="AA363" s="29" t="s">
        <v>48</v>
      </c>
      <c r="AB363" s="11" t="str">
        <f t="shared" si="19"/>
        <v>'=HLOOKUP($J$3,$E$3:$H$243,119,FALSE)</v>
      </c>
    </row>
    <row r="364" spans="2:28" ht="12.75">
      <c r="B364" s="11" t="s">
        <v>47</v>
      </c>
      <c r="C364" s="11">
        <v>120</v>
      </c>
      <c r="D364" s="29" t="s">
        <v>48</v>
      </c>
      <c r="E364" s="11" t="str">
        <f t="shared" si="18"/>
        <v>'=HLOOKUP($J$3,$E$3:$H$243,120,FALSE)</v>
      </c>
      <c r="Y364" s="11" t="s">
        <v>47</v>
      </c>
      <c r="Z364" s="11">
        <v>120</v>
      </c>
      <c r="AA364" s="29" t="s">
        <v>48</v>
      </c>
      <c r="AB364" s="11" t="str">
        <f t="shared" si="19"/>
        <v>'=HLOOKUP($J$3,$E$3:$H$243,120,FALSE)</v>
      </c>
    </row>
    <row r="365" spans="2:28" ht="12.75">
      <c r="B365" s="11" t="s">
        <v>47</v>
      </c>
      <c r="C365" s="11">
        <v>121</v>
      </c>
      <c r="D365" s="29" t="s">
        <v>48</v>
      </c>
      <c r="E365" s="11" t="str">
        <f t="shared" si="18"/>
        <v>'=HLOOKUP($J$3,$E$3:$H$243,121,FALSE)</v>
      </c>
      <c r="Y365" s="11" t="s">
        <v>47</v>
      </c>
      <c r="Z365" s="11">
        <v>121</v>
      </c>
      <c r="AA365" s="29" t="s">
        <v>48</v>
      </c>
      <c r="AB365" s="11" t="str">
        <f t="shared" si="19"/>
        <v>'=HLOOKUP($J$3,$E$3:$H$243,121,FALSE)</v>
      </c>
    </row>
    <row r="366" spans="2:28" ht="12.75">
      <c r="B366" s="11" t="s">
        <v>47</v>
      </c>
      <c r="C366" s="11">
        <v>122</v>
      </c>
      <c r="D366" s="29" t="s">
        <v>48</v>
      </c>
      <c r="E366" s="11" t="str">
        <f t="shared" si="18"/>
        <v>'=HLOOKUP($J$3,$E$3:$H$243,122,FALSE)</v>
      </c>
      <c r="Y366" s="11" t="s">
        <v>47</v>
      </c>
      <c r="Z366" s="11">
        <v>122</v>
      </c>
      <c r="AA366" s="29" t="s">
        <v>48</v>
      </c>
      <c r="AB366" s="11" t="str">
        <f t="shared" si="19"/>
        <v>'=HLOOKUP($J$3,$E$3:$H$243,122,FALSE)</v>
      </c>
    </row>
    <row r="367" spans="2:28" ht="12.75">
      <c r="B367" s="11" t="s">
        <v>47</v>
      </c>
      <c r="C367" s="11">
        <v>123</v>
      </c>
      <c r="D367" s="29" t="s">
        <v>48</v>
      </c>
      <c r="E367" s="11" t="str">
        <f t="shared" si="18"/>
        <v>'=HLOOKUP($J$3,$E$3:$H$243,123,FALSE)</v>
      </c>
      <c r="Y367" s="11" t="s">
        <v>47</v>
      </c>
      <c r="Z367" s="11">
        <v>123</v>
      </c>
      <c r="AA367" s="29" t="s">
        <v>48</v>
      </c>
      <c r="AB367" s="11" t="str">
        <f t="shared" si="19"/>
        <v>'=HLOOKUP($J$3,$E$3:$H$243,123,FALSE)</v>
      </c>
    </row>
    <row r="368" spans="2:28" ht="12.75">
      <c r="B368" s="11" t="s">
        <v>47</v>
      </c>
      <c r="C368" s="11">
        <v>124</v>
      </c>
      <c r="D368" s="29" t="s">
        <v>48</v>
      </c>
      <c r="E368" s="11" t="str">
        <f t="shared" si="18"/>
        <v>'=HLOOKUP($J$3,$E$3:$H$243,124,FALSE)</v>
      </c>
      <c r="Y368" s="11" t="s">
        <v>47</v>
      </c>
      <c r="Z368" s="11">
        <v>124</v>
      </c>
      <c r="AA368" s="29" t="s">
        <v>48</v>
      </c>
      <c r="AB368" s="11" t="str">
        <f t="shared" si="19"/>
        <v>'=HLOOKUP($J$3,$E$3:$H$243,124,FALSE)</v>
      </c>
    </row>
    <row r="369" spans="2:28" ht="12.75">
      <c r="B369" s="11" t="s">
        <v>47</v>
      </c>
      <c r="C369" s="11">
        <v>125</v>
      </c>
      <c r="D369" s="29" t="s">
        <v>48</v>
      </c>
      <c r="E369" s="11" t="str">
        <f t="shared" si="18"/>
        <v>'=HLOOKUP($J$3,$E$3:$H$243,125,FALSE)</v>
      </c>
      <c r="Y369" s="11" t="s">
        <v>47</v>
      </c>
      <c r="Z369" s="11">
        <v>125</v>
      </c>
      <c r="AA369" s="29" t="s">
        <v>48</v>
      </c>
      <c r="AB369" s="11" t="str">
        <f t="shared" si="19"/>
        <v>'=HLOOKUP($J$3,$E$3:$H$243,125,FALSE)</v>
      </c>
    </row>
    <row r="370" spans="2:28" ht="12.75">
      <c r="B370" s="11" t="s">
        <v>47</v>
      </c>
      <c r="C370" s="11">
        <v>126</v>
      </c>
      <c r="D370" s="29" t="s">
        <v>48</v>
      </c>
      <c r="E370" s="11" t="str">
        <f t="shared" si="18"/>
        <v>'=HLOOKUP($J$3,$E$3:$H$243,126,FALSE)</v>
      </c>
      <c r="Y370" s="11" t="s">
        <v>47</v>
      </c>
      <c r="Z370" s="11">
        <v>126</v>
      </c>
      <c r="AA370" s="29" t="s">
        <v>48</v>
      </c>
      <c r="AB370" s="11" t="str">
        <f t="shared" si="19"/>
        <v>'=HLOOKUP($J$3,$E$3:$H$243,126,FALSE)</v>
      </c>
    </row>
    <row r="371" spans="2:28" ht="12.75">
      <c r="B371" s="11" t="s">
        <v>47</v>
      </c>
      <c r="C371" s="11">
        <v>127</v>
      </c>
      <c r="D371" s="29" t="s">
        <v>48</v>
      </c>
      <c r="E371" s="11" t="str">
        <f t="shared" si="18"/>
        <v>'=HLOOKUP($J$3,$E$3:$H$243,127,FALSE)</v>
      </c>
      <c r="Y371" s="11" t="s">
        <v>47</v>
      </c>
      <c r="Z371" s="11">
        <v>127</v>
      </c>
      <c r="AA371" s="29" t="s">
        <v>48</v>
      </c>
      <c r="AB371" s="11" t="str">
        <f t="shared" si="19"/>
        <v>'=HLOOKUP($J$3,$E$3:$H$243,127,FALSE)</v>
      </c>
    </row>
    <row r="372" spans="2:28" ht="12.75">
      <c r="B372" s="11" t="s">
        <v>47</v>
      </c>
      <c r="C372" s="11">
        <v>128</v>
      </c>
      <c r="D372" s="29" t="s">
        <v>48</v>
      </c>
      <c r="E372" s="11" t="str">
        <f t="shared" si="18"/>
        <v>'=HLOOKUP($J$3,$E$3:$H$243,128,FALSE)</v>
      </c>
      <c r="Y372" s="11" t="s">
        <v>47</v>
      </c>
      <c r="Z372" s="11">
        <v>128</v>
      </c>
      <c r="AA372" s="29" t="s">
        <v>48</v>
      </c>
      <c r="AB372" s="11" t="str">
        <f t="shared" si="19"/>
        <v>'=HLOOKUP($J$3,$E$3:$H$243,128,FALSE)</v>
      </c>
    </row>
    <row r="373" spans="2:28" ht="12.75">
      <c r="B373" s="11" t="s">
        <v>47</v>
      </c>
      <c r="C373" s="11">
        <v>129</v>
      </c>
      <c r="D373" s="29" t="s">
        <v>48</v>
      </c>
      <c r="E373" s="11" t="str">
        <f t="shared" si="18"/>
        <v>'=HLOOKUP($J$3,$E$3:$H$243,129,FALSE)</v>
      </c>
      <c r="Y373" s="11" t="s">
        <v>47</v>
      </c>
      <c r="Z373" s="11">
        <v>129</v>
      </c>
      <c r="AA373" s="29" t="s">
        <v>48</v>
      </c>
      <c r="AB373" s="11" t="str">
        <f t="shared" si="19"/>
        <v>'=HLOOKUP($J$3,$E$3:$H$243,129,FALSE)</v>
      </c>
    </row>
    <row r="374" spans="2:28" ht="12.75">
      <c r="B374" s="11" t="s">
        <v>47</v>
      </c>
      <c r="C374" s="11">
        <v>130</v>
      </c>
      <c r="D374" s="29" t="s">
        <v>48</v>
      </c>
      <c r="E374" s="11" t="str">
        <f t="shared" si="18"/>
        <v>'=HLOOKUP($J$3,$E$3:$H$243,130,FALSE)</v>
      </c>
      <c r="Y374" s="11" t="s">
        <v>47</v>
      </c>
      <c r="Z374" s="11">
        <v>130</v>
      </c>
      <c r="AA374" s="29" t="s">
        <v>48</v>
      </c>
      <c r="AB374" s="11" t="str">
        <f t="shared" si="19"/>
        <v>'=HLOOKUP($J$3,$E$3:$H$243,130,FALSE)</v>
      </c>
    </row>
    <row r="375" spans="2:28" ht="12.75">
      <c r="B375" s="11" t="s">
        <v>47</v>
      </c>
      <c r="C375" s="11">
        <v>131</v>
      </c>
      <c r="D375" s="29" t="s">
        <v>48</v>
      </c>
      <c r="E375" s="11" t="str">
        <f t="shared" si="18"/>
        <v>'=HLOOKUP($J$3,$E$3:$H$243,131,FALSE)</v>
      </c>
      <c r="Y375" s="11" t="s">
        <v>47</v>
      </c>
      <c r="Z375" s="11">
        <v>131</v>
      </c>
      <c r="AA375" s="29" t="s">
        <v>48</v>
      </c>
      <c r="AB375" s="11" t="str">
        <f t="shared" si="19"/>
        <v>'=HLOOKUP($J$3,$E$3:$H$243,131,FALSE)</v>
      </c>
    </row>
    <row r="376" spans="2:28" ht="12.75">
      <c r="B376" s="11" t="s">
        <v>47</v>
      </c>
      <c r="C376" s="11">
        <v>132</v>
      </c>
      <c r="D376" s="29" t="s">
        <v>48</v>
      </c>
      <c r="E376" s="11" t="str">
        <f t="shared" si="18"/>
        <v>'=HLOOKUP($J$3,$E$3:$H$243,132,FALSE)</v>
      </c>
      <c r="Y376" s="11" t="s">
        <v>47</v>
      </c>
      <c r="Z376" s="11">
        <v>132</v>
      </c>
      <c r="AA376" s="29" t="s">
        <v>48</v>
      </c>
      <c r="AB376" s="11" t="str">
        <f t="shared" si="19"/>
        <v>'=HLOOKUP($J$3,$E$3:$H$243,132,FALSE)</v>
      </c>
    </row>
    <row r="377" spans="2:28" ht="12.75">
      <c r="B377" s="11" t="s">
        <v>47</v>
      </c>
      <c r="C377" s="11">
        <v>133</v>
      </c>
      <c r="D377" s="29" t="s">
        <v>48</v>
      </c>
      <c r="E377" s="11" t="str">
        <f aca="true" t="shared" si="20" ref="E377:E440">CONCATENATE(B377,C377,D377)</f>
        <v>'=HLOOKUP($J$3,$E$3:$H$243,133,FALSE)</v>
      </c>
      <c r="Y377" s="11" t="s">
        <v>47</v>
      </c>
      <c r="Z377" s="11">
        <v>133</v>
      </c>
      <c r="AA377" s="29" t="s">
        <v>48</v>
      </c>
      <c r="AB377" s="11" t="str">
        <f aca="true" t="shared" si="21" ref="AB377:AB440">CONCATENATE(Y377,Z377,AA377)</f>
        <v>'=HLOOKUP($J$3,$E$3:$H$243,133,FALSE)</v>
      </c>
    </row>
    <row r="378" spans="2:28" ht="12.75">
      <c r="B378" s="11" t="s">
        <v>47</v>
      </c>
      <c r="C378" s="11">
        <v>134</v>
      </c>
      <c r="D378" s="29" t="s">
        <v>48</v>
      </c>
      <c r="E378" s="11" t="str">
        <f t="shared" si="20"/>
        <v>'=HLOOKUP($J$3,$E$3:$H$243,134,FALSE)</v>
      </c>
      <c r="Y378" s="11" t="s">
        <v>47</v>
      </c>
      <c r="Z378" s="11">
        <v>134</v>
      </c>
      <c r="AA378" s="29" t="s">
        <v>48</v>
      </c>
      <c r="AB378" s="11" t="str">
        <f t="shared" si="21"/>
        <v>'=HLOOKUP($J$3,$E$3:$H$243,134,FALSE)</v>
      </c>
    </row>
    <row r="379" spans="2:28" ht="12.75">
      <c r="B379" s="11" t="s">
        <v>47</v>
      </c>
      <c r="C379" s="11">
        <v>135</v>
      </c>
      <c r="D379" s="29" t="s">
        <v>48</v>
      </c>
      <c r="E379" s="11" t="str">
        <f t="shared" si="20"/>
        <v>'=HLOOKUP($J$3,$E$3:$H$243,135,FALSE)</v>
      </c>
      <c r="Y379" s="11" t="s">
        <v>47</v>
      </c>
      <c r="Z379" s="11">
        <v>135</v>
      </c>
      <c r="AA379" s="29" t="s">
        <v>48</v>
      </c>
      <c r="AB379" s="11" t="str">
        <f t="shared" si="21"/>
        <v>'=HLOOKUP($J$3,$E$3:$H$243,135,FALSE)</v>
      </c>
    </row>
    <row r="380" spans="2:28" ht="12.75">
      <c r="B380" s="11" t="s">
        <v>47</v>
      </c>
      <c r="C380" s="11">
        <v>136</v>
      </c>
      <c r="D380" s="29" t="s">
        <v>48</v>
      </c>
      <c r="E380" s="11" t="str">
        <f t="shared" si="20"/>
        <v>'=HLOOKUP($J$3,$E$3:$H$243,136,FALSE)</v>
      </c>
      <c r="Y380" s="11" t="s">
        <v>47</v>
      </c>
      <c r="Z380" s="11">
        <v>136</v>
      </c>
      <c r="AA380" s="29" t="s">
        <v>48</v>
      </c>
      <c r="AB380" s="11" t="str">
        <f t="shared" si="21"/>
        <v>'=HLOOKUP($J$3,$E$3:$H$243,136,FALSE)</v>
      </c>
    </row>
    <row r="381" spans="2:28" ht="12.75">
      <c r="B381" s="11" t="s">
        <v>47</v>
      </c>
      <c r="C381" s="11">
        <v>137</v>
      </c>
      <c r="D381" s="29" t="s">
        <v>48</v>
      </c>
      <c r="E381" s="11" t="str">
        <f t="shared" si="20"/>
        <v>'=HLOOKUP($J$3,$E$3:$H$243,137,FALSE)</v>
      </c>
      <c r="Y381" s="11" t="s">
        <v>47</v>
      </c>
      <c r="Z381" s="11">
        <v>137</v>
      </c>
      <c r="AA381" s="29" t="s">
        <v>48</v>
      </c>
      <c r="AB381" s="11" t="str">
        <f t="shared" si="21"/>
        <v>'=HLOOKUP($J$3,$E$3:$H$243,137,FALSE)</v>
      </c>
    </row>
    <row r="382" spans="2:28" ht="12.75">
      <c r="B382" s="11" t="s">
        <v>47</v>
      </c>
      <c r="C382" s="11">
        <v>138</v>
      </c>
      <c r="D382" s="29" t="s">
        <v>48</v>
      </c>
      <c r="E382" s="11" t="str">
        <f t="shared" si="20"/>
        <v>'=HLOOKUP($J$3,$E$3:$H$243,138,FALSE)</v>
      </c>
      <c r="Y382" s="11" t="s">
        <v>47</v>
      </c>
      <c r="Z382" s="11">
        <v>138</v>
      </c>
      <c r="AA382" s="29" t="s">
        <v>48</v>
      </c>
      <c r="AB382" s="11" t="str">
        <f t="shared" si="21"/>
        <v>'=HLOOKUP($J$3,$E$3:$H$243,138,FALSE)</v>
      </c>
    </row>
    <row r="383" spans="2:28" ht="12.75">
      <c r="B383" s="11" t="s">
        <v>47</v>
      </c>
      <c r="C383" s="11">
        <v>139</v>
      </c>
      <c r="D383" s="29" t="s">
        <v>48</v>
      </c>
      <c r="E383" s="11" t="str">
        <f t="shared" si="20"/>
        <v>'=HLOOKUP($J$3,$E$3:$H$243,139,FALSE)</v>
      </c>
      <c r="Y383" s="11" t="s">
        <v>47</v>
      </c>
      <c r="Z383" s="11">
        <v>139</v>
      </c>
      <c r="AA383" s="29" t="s">
        <v>48</v>
      </c>
      <c r="AB383" s="11" t="str">
        <f t="shared" si="21"/>
        <v>'=HLOOKUP($J$3,$E$3:$H$243,139,FALSE)</v>
      </c>
    </row>
    <row r="384" spans="2:28" ht="12.75">
      <c r="B384" s="11" t="s">
        <v>47</v>
      </c>
      <c r="C384" s="11">
        <v>140</v>
      </c>
      <c r="D384" s="29" t="s">
        <v>48</v>
      </c>
      <c r="E384" s="11" t="str">
        <f t="shared" si="20"/>
        <v>'=HLOOKUP($J$3,$E$3:$H$243,140,FALSE)</v>
      </c>
      <c r="Y384" s="11" t="s">
        <v>47</v>
      </c>
      <c r="Z384" s="11">
        <v>140</v>
      </c>
      <c r="AA384" s="29" t="s">
        <v>48</v>
      </c>
      <c r="AB384" s="11" t="str">
        <f t="shared" si="21"/>
        <v>'=HLOOKUP($J$3,$E$3:$H$243,140,FALSE)</v>
      </c>
    </row>
    <row r="385" spans="2:28" ht="12.75">
      <c r="B385" s="11" t="s">
        <v>47</v>
      </c>
      <c r="C385" s="11">
        <v>141</v>
      </c>
      <c r="D385" s="29" t="s">
        <v>48</v>
      </c>
      <c r="E385" s="11" t="str">
        <f t="shared" si="20"/>
        <v>'=HLOOKUP($J$3,$E$3:$H$243,141,FALSE)</v>
      </c>
      <c r="Y385" s="11" t="s">
        <v>47</v>
      </c>
      <c r="Z385" s="11">
        <v>141</v>
      </c>
      <c r="AA385" s="29" t="s">
        <v>48</v>
      </c>
      <c r="AB385" s="11" t="str">
        <f t="shared" si="21"/>
        <v>'=HLOOKUP($J$3,$E$3:$H$243,141,FALSE)</v>
      </c>
    </row>
    <row r="386" spans="2:28" ht="12.75">
      <c r="B386" s="11" t="s">
        <v>47</v>
      </c>
      <c r="C386" s="11">
        <v>142</v>
      </c>
      <c r="D386" s="29" t="s">
        <v>48</v>
      </c>
      <c r="E386" s="11" t="str">
        <f t="shared" si="20"/>
        <v>'=HLOOKUP($J$3,$E$3:$H$243,142,FALSE)</v>
      </c>
      <c r="Y386" s="11" t="s">
        <v>47</v>
      </c>
      <c r="Z386" s="11">
        <v>142</v>
      </c>
      <c r="AA386" s="29" t="s">
        <v>48</v>
      </c>
      <c r="AB386" s="11" t="str">
        <f t="shared" si="21"/>
        <v>'=HLOOKUP($J$3,$E$3:$H$243,142,FALSE)</v>
      </c>
    </row>
    <row r="387" spans="2:28" ht="12.75">
      <c r="B387" s="11" t="s">
        <v>47</v>
      </c>
      <c r="C387" s="11">
        <v>143</v>
      </c>
      <c r="D387" s="29" t="s">
        <v>48</v>
      </c>
      <c r="E387" s="11" t="str">
        <f t="shared" si="20"/>
        <v>'=HLOOKUP($J$3,$E$3:$H$243,143,FALSE)</v>
      </c>
      <c r="Y387" s="11" t="s">
        <v>47</v>
      </c>
      <c r="Z387" s="11">
        <v>143</v>
      </c>
      <c r="AA387" s="29" t="s">
        <v>48</v>
      </c>
      <c r="AB387" s="11" t="str">
        <f t="shared" si="21"/>
        <v>'=HLOOKUP($J$3,$E$3:$H$243,143,FALSE)</v>
      </c>
    </row>
    <row r="388" spans="2:28" ht="12.75">
      <c r="B388" s="11" t="s">
        <v>47</v>
      </c>
      <c r="C388" s="11">
        <v>144</v>
      </c>
      <c r="D388" s="29" t="s">
        <v>48</v>
      </c>
      <c r="E388" s="11" t="str">
        <f t="shared" si="20"/>
        <v>'=HLOOKUP($J$3,$E$3:$H$243,144,FALSE)</v>
      </c>
      <c r="Y388" s="11" t="s">
        <v>47</v>
      </c>
      <c r="Z388" s="11">
        <v>144</v>
      </c>
      <c r="AA388" s="29" t="s">
        <v>48</v>
      </c>
      <c r="AB388" s="11" t="str">
        <f t="shared" si="21"/>
        <v>'=HLOOKUP($J$3,$E$3:$H$243,144,FALSE)</v>
      </c>
    </row>
    <row r="389" spans="2:28" ht="12.75">
      <c r="B389" s="11" t="s">
        <v>47</v>
      </c>
      <c r="C389" s="11">
        <v>145</v>
      </c>
      <c r="D389" s="29" t="s">
        <v>48</v>
      </c>
      <c r="E389" s="11" t="str">
        <f t="shared" si="20"/>
        <v>'=HLOOKUP($J$3,$E$3:$H$243,145,FALSE)</v>
      </c>
      <c r="Y389" s="11" t="s">
        <v>47</v>
      </c>
      <c r="Z389" s="11">
        <v>145</v>
      </c>
      <c r="AA389" s="29" t="s">
        <v>48</v>
      </c>
      <c r="AB389" s="11" t="str">
        <f t="shared" si="21"/>
        <v>'=HLOOKUP($J$3,$E$3:$H$243,145,FALSE)</v>
      </c>
    </row>
    <row r="390" spans="2:28" ht="12.75">
      <c r="B390" s="11" t="s">
        <v>47</v>
      </c>
      <c r="C390" s="11">
        <v>146</v>
      </c>
      <c r="D390" s="29" t="s">
        <v>48</v>
      </c>
      <c r="E390" s="11" t="str">
        <f t="shared" si="20"/>
        <v>'=HLOOKUP($J$3,$E$3:$H$243,146,FALSE)</v>
      </c>
      <c r="Y390" s="11" t="s">
        <v>47</v>
      </c>
      <c r="Z390" s="11">
        <v>146</v>
      </c>
      <c r="AA390" s="29" t="s">
        <v>48</v>
      </c>
      <c r="AB390" s="11" t="str">
        <f t="shared" si="21"/>
        <v>'=HLOOKUP($J$3,$E$3:$H$243,146,FALSE)</v>
      </c>
    </row>
    <row r="391" spans="2:28" ht="12.75">
      <c r="B391" s="11" t="s">
        <v>47</v>
      </c>
      <c r="C391" s="11">
        <v>147</v>
      </c>
      <c r="D391" s="29" t="s">
        <v>48</v>
      </c>
      <c r="E391" s="11" t="str">
        <f t="shared" si="20"/>
        <v>'=HLOOKUP($J$3,$E$3:$H$243,147,FALSE)</v>
      </c>
      <c r="Y391" s="11" t="s">
        <v>47</v>
      </c>
      <c r="Z391" s="11">
        <v>147</v>
      </c>
      <c r="AA391" s="29" t="s">
        <v>48</v>
      </c>
      <c r="AB391" s="11" t="str">
        <f t="shared" si="21"/>
        <v>'=HLOOKUP($J$3,$E$3:$H$243,147,FALSE)</v>
      </c>
    </row>
    <row r="392" spans="2:28" ht="12.75">
      <c r="B392" s="11" t="s">
        <v>47</v>
      </c>
      <c r="C392" s="11">
        <v>148</v>
      </c>
      <c r="D392" s="29" t="s">
        <v>48</v>
      </c>
      <c r="E392" s="11" t="str">
        <f t="shared" si="20"/>
        <v>'=HLOOKUP($J$3,$E$3:$H$243,148,FALSE)</v>
      </c>
      <c r="Y392" s="11" t="s">
        <v>47</v>
      </c>
      <c r="Z392" s="11">
        <v>148</v>
      </c>
      <c r="AA392" s="29" t="s">
        <v>48</v>
      </c>
      <c r="AB392" s="11" t="str">
        <f t="shared" si="21"/>
        <v>'=HLOOKUP($J$3,$E$3:$H$243,148,FALSE)</v>
      </c>
    </row>
    <row r="393" spans="2:28" ht="12.75">
      <c r="B393" s="11" t="s">
        <v>47</v>
      </c>
      <c r="C393" s="11">
        <v>149</v>
      </c>
      <c r="D393" s="29" t="s">
        <v>48</v>
      </c>
      <c r="E393" s="11" t="str">
        <f t="shared" si="20"/>
        <v>'=HLOOKUP($J$3,$E$3:$H$243,149,FALSE)</v>
      </c>
      <c r="Y393" s="11" t="s">
        <v>47</v>
      </c>
      <c r="Z393" s="11">
        <v>149</v>
      </c>
      <c r="AA393" s="29" t="s">
        <v>48</v>
      </c>
      <c r="AB393" s="11" t="str">
        <f t="shared" si="21"/>
        <v>'=HLOOKUP($J$3,$E$3:$H$243,149,FALSE)</v>
      </c>
    </row>
    <row r="394" spans="2:28" ht="12.75">
      <c r="B394" s="11" t="s">
        <v>47</v>
      </c>
      <c r="C394" s="11">
        <v>150</v>
      </c>
      <c r="D394" s="29" t="s">
        <v>48</v>
      </c>
      <c r="E394" s="11" t="str">
        <f t="shared" si="20"/>
        <v>'=HLOOKUP($J$3,$E$3:$H$243,150,FALSE)</v>
      </c>
      <c r="Y394" s="11" t="s">
        <v>47</v>
      </c>
      <c r="Z394" s="11">
        <v>150</v>
      </c>
      <c r="AA394" s="29" t="s">
        <v>48</v>
      </c>
      <c r="AB394" s="11" t="str">
        <f t="shared" si="21"/>
        <v>'=HLOOKUP($J$3,$E$3:$H$243,150,FALSE)</v>
      </c>
    </row>
    <row r="395" spans="2:28" ht="12.75">
      <c r="B395" s="11" t="s">
        <v>47</v>
      </c>
      <c r="C395" s="11">
        <v>151</v>
      </c>
      <c r="D395" s="29" t="s">
        <v>48</v>
      </c>
      <c r="E395" s="11" t="str">
        <f t="shared" si="20"/>
        <v>'=HLOOKUP($J$3,$E$3:$H$243,151,FALSE)</v>
      </c>
      <c r="Y395" s="11" t="s">
        <v>47</v>
      </c>
      <c r="Z395" s="11">
        <v>151</v>
      </c>
      <c r="AA395" s="29" t="s">
        <v>48</v>
      </c>
      <c r="AB395" s="11" t="str">
        <f t="shared" si="21"/>
        <v>'=HLOOKUP($J$3,$E$3:$H$243,151,FALSE)</v>
      </c>
    </row>
    <row r="396" spans="2:28" ht="12.75">
      <c r="B396" s="11" t="s">
        <v>47</v>
      </c>
      <c r="C396" s="11">
        <v>152</v>
      </c>
      <c r="D396" s="29" t="s">
        <v>48</v>
      </c>
      <c r="E396" s="11" t="str">
        <f t="shared" si="20"/>
        <v>'=HLOOKUP($J$3,$E$3:$H$243,152,FALSE)</v>
      </c>
      <c r="Y396" s="11" t="s">
        <v>47</v>
      </c>
      <c r="Z396" s="11">
        <v>152</v>
      </c>
      <c r="AA396" s="29" t="s">
        <v>48</v>
      </c>
      <c r="AB396" s="11" t="str">
        <f t="shared" si="21"/>
        <v>'=HLOOKUP($J$3,$E$3:$H$243,152,FALSE)</v>
      </c>
    </row>
    <row r="397" spans="2:28" ht="12.75">
      <c r="B397" s="11" t="s">
        <v>47</v>
      </c>
      <c r="C397" s="11">
        <v>153</v>
      </c>
      <c r="D397" s="29" t="s">
        <v>48</v>
      </c>
      <c r="E397" s="11" t="str">
        <f t="shared" si="20"/>
        <v>'=HLOOKUP($J$3,$E$3:$H$243,153,FALSE)</v>
      </c>
      <c r="Y397" s="11" t="s">
        <v>47</v>
      </c>
      <c r="Z397" s="11">
        <v>153</v>
      </c>
      <c r="AA397" s="29" t="s">
        <v>48</v>
      </c>
      <c r="AB397" s="11" t="str">
        <f t="shared" si="21"/>
        <v>'=HLOOKUP($J$3,$E$3:$H$243,153,FALSE)</v>
      </c>
    </row>
    <row r="398" spans="2:28" ht="12.75">
      <c r="B398" s="11" t="s">
        <v>47</v>
      </c>
      <c r="C398" s="11">
        <v>154</v>
      </c>
      <c r="D398" s="29" t="s">
        <v>48</v>
      </c>
      <c r="E398" s="11" t="str">
        <f t="shared" si="20"/>
        <v>'=HLOOKUP($J$3,$E$3:$H$243,154,FALSE)</v>
      </c>
      <c r="Y398" s="11" t="s">
        <v>47</v>
      </c>
      <c r="Z398" s="11">
        <v>154</v>
      </c>
      <c r="AA398" s="29" t="s">
        <v>48</v>
      </c>
      <c r="AB398" s="11" t="str">
        <f t="shared" si="21"/>
        <v>'=HLOOKUP($J$3,$E$3:$H$243,154,FALSE)</v>
      </c>
    </row>
    <row r="399" spans="2:28" ht="12.75">
      <c r="B399" s="11" t="s">
        <v>47</v>
      </c>
      <c r="C399" s="11">
        <v>155</v>
      </c>
      <c r="D399" s="29" t="s">
        <v>48</v>
      </c>
      <c r="E399" s="11" t="str">
        <f t="shared" si="20"/>
        <v>'=HLOOKUP($J$3,$E$3:$H$243,155,FALSE)</v>
      </c>
      <c r="Y399" s="11" t="s">
        <v>47</v>
      </c>
      <c r="Z399" s="11">
        <v>155</v>
      </c>
      <c r="AA399" s="29" t="s">
        <v>48</v>
      </c>
      <c r="AB399" s="11" t="str">
        <f t="shared" si="21"/>
        <v>'=HLOOKUP($J$3,$E$3:$H$243,155,FALSE)</v>
      </c>
    </row>
    <row r="400" spans="2:28" ht="12.75">
      <c r="B400" s="11" t="s">
        <v>47</v>
      </c>
      <c r="C400" s="11">
        <v>156</v>
      </c>
      <c r="D400" s="29" t="s">
        <v>48</v>
      </c>
      <c r="E400" s="11" t="str">
        <f t="shared" si="20"/>
        <v>'=HLOOKUP($J$3,$E$3:$H$243,156,FALSE)</v>
      </c>
      <c r="Y400" s="11" t="s">
        <v>47</v>
      </c>
      <c r="Z400" s="11">
        <v>156</v>
      </c>
      <c r="AA400" s="29" t="s">
        <v>48</v>
      </c>
      <c r="AB400" s="11" t="str">
        <f t="shared" si="21"/>
        <v>'=HLOOKUP($J$3,$E$3:$H$243,156,FALSE)</v>
      </c>
    </row>
    <row r="401" spans="2:28" ht="12.75">
      <c r="B401" s="11" t="s">
        <v>47</v>
      </c>
      <c r="C401" s="11">
        <v>157</v>
      </c>
      <c r="D401" s="29" t="s">
        <v>48</v>
      </c>
      <c r="E401" s="11" t="str">
        <f t="shared" si="20"/>
        <v>'=HLOOKUP($J$3,$E$3:$H$243,157,FALSE)</v>
      </c>
      <c r="Y401" s="11" t="s">
        <v>47</v>
      </c>
      <c r="Z401" s="11">
        <v>157</v>
      </c>
      <c r="AA401" s="29" t="s">
        <v>48</v>
      </c>
      <c r="AB401" s="11" t="str">
        <f t="shared" si="21"/>
        <v>'=HLOOKUP($J$3,$E$3:$H$243,157,FALSE)</v>
      </c>
    </row>
    <row r="402" spans="2:28" ht="12.75">
      <c r="B402" s="11" t="s">
        <v>47</v>
      </c>
      <c r="C402" s="11">
        <v>158</v>
      </c>
      <c r="D402" s="29" t="s">
        <v>48</v>
      </c>
      <c r="E402" s="11" t="str">
        <f t="shared" si="20"/>
        <v>'=HLOOKUP($J$3,$E$3:$H$243,158,FALSE)</v>
      </c>
      <c r="Y402" s="11" t="s">
        <v>47</v>
      </c>
      <c r="Z402" s="11">
        <v>158</v>
      </c>
      <c r="AA402" s="29" t="s">
        <v>48</v>
      </c>
      <c r="AB402" s="11" t="str">
        <f t="shared" si="21"/>
        <v>'=HLOOKUP($J$3,$E$3:$H$243,158,FALSE)</v>
      </c>
    </row>
    <row r="403" spans="2:28" ht="12.75">
      <c r="B403" s="11" t="s">
        <v>47</v>
      </c>
      <c r="C403" s="11">
        <v>159</v>
      </c>
      <c r="D403" s="29" t="s">
        <v>48</v>
      </c>
      <c r="E403" s="11" t="str">
        <f t="shared" si="20"/>
        <v>'=HLOOKUP($J$3,$E$3:$H$243,159,FALSE)</v>
      </c>
      <c r="Y403" s="11" t="s">
        <v>47</v>
      </c>
      <c r="Z403" s="11">
        <v>159</v>
      </c>
      <c r="AA403" s="29" t="s">
        <v>48</v>
      </c>
      <c r="AB403" s="11" t="str">
        <f t="shared" si="21"/>
        <v>'=HLOOKUP($J$3,$E$3:$H$243,159,FALSE)</v>
      </c>
    </row>
    <row r="404" spans="2:28" ht="12.75">
      <c r="B404" s="11" t="s">
        <v>47</v>
      </c>
      <c r="C404" s="11">
        <v>160</v>
      </c>
      <c r="D404" s="29" t="s">
        <v>48</v>
      </c>
      <c r="E404" s="11" t="str">
        <f t="shared" si="20"/>
        <v>'=HLOOKUP($J$3,$E$3:$H$243,160,FALSE)</v>
      </c>
      <c r="Y404" s="11" t="s">
        <v>47</v>
      </c>
      <c r="Z404" s="11">
        <v>160</v>
      </c>
      <c r="AA404" s="29" t="s">
        <v>48</v>
      </c>
      <c r="AB404" s="11" t="str">
        <f t="shared" si="21"/>
        <v>'=HLOOKUP($J$3,$E$3:$H$243,160,FALSE)</v>
      </c>
    </row>
    <row r="405" spans="2:28" ht="12.75">
      <c r="B405" s="11" t="s">
        <v>47</v>
      </c>
      <c r="C405" s="11">
        <v>161</v>
      </c>
      <c r="D405" s="29" t="s">
        <v>48</v>
      </c>
      <c r="E405" s="11" t="str">
        <f t="shared" si="20"/>
        <v>'=HLOOKUP($J$3,$E$3:$H$243,161,FALSE)</v>
      </c>
      <c r="Y405" s="11" t="s">
        <v>47</v>
      </c>
      <c r="Z405" s="11">
        <v>161</v>
      </c>
      <c r="AA405" s="29" t="s">
        <v>48</v>
      </c>
      <c r="AB405" s="11" t="str">
        <f t="shared" si="21"/>
        <v>'=HLOOKUP($J$3,$E$3:$H$243,161,FALSE)</v>
      </c>
    </row>
    <row r="406" spans="2:28" ht="12.75">
      <c r="B406" s="11" t="s">
        <v>47</v>
      </c>
      <c r="C406" s="11">
        <v>162</v>
      </c>
      <c r="D406" s="29" t="s">
        <v>48</v>
      </c>
      <c r="E406" s="11" t="str">
        <f t="shared" si="20"/>
        <v>'=HLOOKUP($J$3,$E$3:$H$243,162,FALSE)</v>
      </c>
      <c r="Y406" s="11" t="s">
        <v>47</v>
      </c>
      <c r="Z406" s="11">
        <v>162</v>
      </c>
      <c r="AA406" s="29" t="s">
        <v>48</v>
      </c>
      <c r="AB406" s="11" t="str">
        <f t="shared" si="21"/>
        <v>'=HLOOKUP($J$3,$E$3:$H$243,162,FALSE)</v>
      </c>
    </row>
    <row r="407" spans="2:28" ht="12.75">
      <c r="B407" s="11" t="s">
        <v>47</v>
      </c>
      <c r="C407" s="11">
        <v>163</v>
      </c>
      <c r="D407" s="29" t="s">
        <v>48</v>
      </c>
      <c r="E407" s="11" t="str">
        <f t="shared" si="20"/>
        <v>'=HLOOKUP($J$3,$E$3:$H$243,163,FALSE)</v>
      </c>
      <c r="Y407" s="11" t="s">
        <v>47</v>
      </c>
      <c r="Z407" s="11">
        <v>163</v>
      </c>
      <c r="AA407" s="29" t="s">
        <v>48</v>
      </c>
      <c r="AB407" s="11" t="str">
        <f t="shared" si="21"/>
        <v>'=HLOOKUP($J$3,$E$3:$H$243,163,FALSE)</v>
      </c>
    </row>
    <row r="408" spans="2:28" ht="12.75">
      <c r="B408" s="11" t="s">
        <v>47</v>
      </c>
      <c r="C408" s="11">
        <v>164</v>
      </c>
      <c r="D408" s="29" t="s">
        <v>48</v>
      </c>
      <c r="E408" s="11" t="str">
        <f t="shared" si="20"/>
        <v>'=HLOOKUP($J$3,$E$3:$H$243,164,FALSE)</v>
      </c>
      <c r="Y408" s="11" t="s">
        <v>47</v>
      </c>
      <c r="Z408" s="11">
        <v>164</v>
      </c>
      <c r="AA408" s="29" t="s">
        <v>48</v>
      </c>
      <c r="AB408" s="11" t="str">
        <f t="shared" si="21"/>
        <v>'=HLOOKUP($J$3,$E$3:$H$243,164,FALSE)</v>
      </c>
    </row>
    <row r="409" spans="2:28" ht="12.75">
      <c r="B409" s="11" t="s">
        <v>47</v>
      </c>
      <c r="C409" s="11">
        <v>165</v>
      </c>
      <c r="D409" s="29" t="s">
        <v>48</v>
      </c>
      <c r="E409" s="11" t="str">
        <f t="shared" si="20"/>
        <v>'=HLOOKUP($J$3,$E$3:$H$243,165,FALSE)</v>
      </c>
      <c r="Y409" s="11" t="s">
        <v>47</v>
      </c>
      <c r="Z409" s="11">
        <v>165</v>
      </c>
      <c r="AA409" s="29" t="s">
        <v>48</v>
      </c>
      <c r="AB409" s="11" t="str">
        <f t="shared" si="21"/>
        <v>'=HLOOKUP($J$3,$E$3:$H$243,165,FALSE)</v>
      </c>
    </row>
    <row r="410" spans="2:28" ht="12.75">
      <c r="B410" s="11" t="s">
        <v>47</v>
      </c>
      <c r="C410" s="11">
        <v>166</v>
      </c>
      <c r="D410" s="29" t="s">
        <v>48</v>
      </c>
      <c r="E410" s="11" t="str">
        <f t="shared" si="20"/>
        <v>'=HLOOKUP($J$3,$E$3:$H$243,166,FALSE)</v>
      </c>
      <c r="Y410" s="11" t="s">
        <v>47</v>
      </c>
      <c r="Z410" s="11">
        <v>166</v>
      </c>
      <c r="AA410" s="29" t="s">
        <v>48</v>
      </c>
      <c r="AB410" s="11" t="str">
        <f t="shared" si="21"/>
        <v>'=HLOOKUP($J$3,$E$3:$H$243,166,FALSE)</v>
      </c>
    </row>
    <row r="411" spans="2:28" ht="12.75">
      <c r="B411" s="11" t="s">
        <v>47</v>
      </c>
      <c r="C411" s="11">
        <v>167</v>
      </c>
      <c r="D411" s="29" t="s">
        <v>48</v>
      </c>
      <c r="E411" s="11" t="str">
        <f t="shared" si="20"/>
        <v>'=HLOOKUP($J$3,$E$3:$H$243,167,FALSE)</v>
      </c>
      <c r="Y411" s="11" t="s">
        <v>47</v>
      </c>
      <c r="Z411" s="11">
        <v>167</v>
      </c>
      <c r="AA411" s="29" t="s">
        <v>48</v>
      </c>
      <c r="AB411" s="11" t="str">
        <f t="shared" si="21"/>
        <v>'=HLOOKUP($J$3,$E$3:$H$243,167,FALSE)</v>
      </c>
    </row>
    <row r="412" spans="2:28" ht="12.75">
      <c r="B412" s="11" t="s">
        <v>47</v>
      </c>
      <c r="C412" s="11">
        <v>168</v>
      </c>
      <c r="D412" s="29" t="s">
        <v>48</v>
      </c>
      <c r="E412" s="11" t="str">
        <f t="shared" si="20"/>
        <v>'=HLOOKUP($J$3,$E$3:$H$243,168,FALSE)</v>
      </c>
      <c r="Y412" s="11" t="s">
        <v>47</v>
      </c>
      <c r="Z412" s="11">
        <v>168</v>
      </c>
      <c r="AA412" s="29" t="s">
        <v>48</v>
      </c>
      <c r="AB412" s="11" t="str">
        <f t="shared" si="21"/>
        <v>'=HLOOKUP($J$3,$E$3:$H$243,168,FALSE)</v>
      </c>
    </row>
    <row r="413" spans="2:28" ht="12.75">
      <c r="B413" s="11" t="s">
        <v>47</v>
      </c>
      <c r="C413" s="11">
        <v>169</v>
      </c>
      <c r="D413" s="29" t="s">
        <v>48</v>
      </c>
      <c r="E413" s="11" t="str">
        <f t="shared" si="20"/>
        <v>'=HLOOKUP($J$3,$E$3:$H$243,169,FALSE)</v>
      </c>
      <c r="Y413" s="11" t="s">
        <v>47</v>
      </c>
      <c r="Z413" s="11">
        <v>169</v>
      </c>
      <c r="AA413" s="29" t="s">
        <v>48</v>
      </c>
      <c r="AB413" s="11" t="str">
        <f t="shared" si="21"/>
        <v>'=HLOOKUP($J$3,$E$3:$H$243,169,FALSE)</v>
      </c>
    </row>
    <row r="414" spans="2:28" ht="12.75">
      <c r="B414" s="11" t="s">
        <v>47</v>
      </c>
      <c r="C414" s="11">
        <v>170</v>
      </c>
      <c r="D414" s="29" t="s">
        <v>48</v>
      </c>
      <c r="E414" s="11" t="str">
        <f t="shared" si="20"/>
        <v>'=HLOOKUP($J$3,$E$3:$H$243,170,FALSE)</v>
      </c>
      <c r="Y414" s="11" t="s">
        <v>47</v>
      </c>
      <c r="Z414" s="11">
        <v>170</v>
      </c>
      <c r="AA414" s="29" t="s">
        <v>48</v>
      </c>
      <c r="AB414" s="11" t="str">
        <f t="shared" si="21"/>
        <v>'=HLOOKUP($J$3,$E$3:$H$243,170,FALSE)</v>
      </c>
    </row>
    <row r="415" spans="2:28" ht="12.75">
      <c r="B415" s="11" t="s">
        <v>47</v>
      </c>
      <c r="C415" s="11">
        <v>171</v>
      </c>
      <c r="D415" s="29" t="s">
        <v>48</v>
      </c>
      <c r="E415" s="11" t="str">
        <f t="shared" si="20"/>
        <v>'=HLOOKUP($J$3,$E$3:$H$243,171,FALSE)</v>
      </c>
      <c r="Y415" s="11" t="s">
        <v>47</v>
      </c>
      <c r="Z415" s="11">
        <v>171</v>
      </c>
      <c r="AA415" s="29" t="s">
        <v>48</v>
      </c>
      <c r="AB415" s="11" t="str">
        <f t="shared" si="21"/>
        <v>'=HLOOKUP($J$3,$E$3:$H$243,171,FALSE)</v>
      </c>
    </row>
    <row r="416" spans="2:28" ht="12.75">
      <c r="B416" s="11" t="s">
        <v>47</v>
      </c>
      <c r="C416" s="11">
        <v>172</v>
      </c>
      <c r="D416" s="29" t="s">
        <v>48</v>
      </c>
      <c r="E416" s="11" t="str">
        <f t="shared" si="20"/>
        <v>'=HLOOKUP($J$3,$E$3:$H$243,172,FALSE)</v>
      </c>
      <c r="Y416" s="11" t="s">
        <v>47</v>
      </c>
      <c r="Z416" s="11">
        <v>172</v>
      </c>
      <c r="AA416" s="29" t="s">
        <v>48</v>
      </c>
      <c r="AB416" s="11" t="str">
        <f t="shared" si="21"/>
        <v>'=HLOOKUP($J$3,$E$3:$H$243,172,FALSE)</v>
      </c>
    </row>
    <row r="417" spans="2:28" ht="12.75">
      <c r="B417" s="11" t="s">
        <v>47</v>
      </c>
      <c r="C417" s="11">
        <v>173</v>
      </c>
      <c r="D417" s="29" t="s">
        <v>48</v>
      </c>
      <c r="E417" s="11" t="str">
        <f t="shared" si="20"/>
        <v>'=HLOOKUP($J$3,$E$3:$H$243,173,FALSE)</v>
      </c>
      <c r="Y417" s="11" t="s">
        <v>47</v>
      </c>
      <c r="Z417" s="11">
        <v>173</v>
      </c>
      <c r="AA417" s="29" t="s">
        <v>48</v>
      </c>
      <c r="AB417" s="11" t="str">
        <f t="shared" si="21"/>
        <v>'=HLOOKUP($J$3,$E$3:$H$243,173,FALSE)</v>
      </c>
    </row>
    <row r="418" spans="2:28" ht="12.75">
      <c r="B418" s="11" t="s">
        <v>47</v>
      </c>
      <c r="C418" s="11">
        <v>174</v>
      </c>
      <c r="D418" s="29" t="s">
        <v>48</v>
      </c>
      <c r="E418" s="11" t="str">
        <f t="shared" si="20"/>
        <v>'=HLOOKUP($J$3,$E$3:$H$243,174,FALSE)</v>
      </c>
      <c r="Y418" s="11" t="s">
        <v>47</v>
      </c>
      <c r="Z418" s="11">
        <v>174</v>
      </c>
      <c r="AA418" s="29" t="s">
        <v>48</v>
      </c>
      <c r="AB418" s="11" t="str">
        <f t="shared" si="21"/>
        <v>'=HLOOKUP($J$3,$E$3:$H$243,174,FALSE)</v>
      </c>
    </row>
    <row r="419" spans="2:28" ht="12.75">
      <c r="B419" s="11" t="s">
        <v>47</v>
      </c>
      <c r="C419" s="11">
        <v>175</v>
      </c>
      <c r="D419" s="29" t="s">
        <v>48</v>
      </c>
      <c r="E419" s="11" t="str">
        <f t="shared" si="20"/>
        <v>'=HLOOKUP($J$3,$E$3:$H$243,175,FALSE)</v>
      </c>
      <c r="Y419" s="11" t="s">
        <v>47</v>
      </c>
      <c r="Z419" s="11">
        <v>175</v>
      </c>
      <c r="AA419" s="29" t="s">
        <v>48</v>
      </c>
      <c r="AB419" s="11" t="str">
        <f t="shared" si="21"/>
        <v>'=HLOOKUP($J$3,$E$3:$H$243,175,FALSE)</v>
      </c>
    </row>
    <row r="420" spans="2:28" ht="12.75">
      <c r="B420" s="11" t="s">
        <v>47</v>
      </c>
      <c r="C420" s="11">
        <v>176</v>
      </c>
      <c r="D420" s="29" t="s">
        <v>48</v>
      </c>
      <c r="E420" s="11" t="str">
        <f t="shared" si="20"/>
        <v>'=HLOOKUP($J$3,$E$3:$H$243,176,FALSE)</v>
      </c>
      <c r="Y420" s="11" t="s">
        <v>47</v>
      </c>
      <c r="Z420" s="11">
        <v>176</v>
      </c>
      <c r="AA420" s="29" t="s">
        <v>48</v>
      </c>
      <c r="AB420" s="11" t="str">
        <f t="shared" si="21"/>
        <v>'=HLOOKUP($J$3,$E$3:$H$243,176,FALSE)</v>
      </c>
    </row>
    <row r="421" spans="2:28" ht="12.75">
      <c r="B421" s="11" t="s">
        <v>47</v>
      </c>
      <c r="C421" s="11">
        <v>177</v>
      </c>
      <c r="D421" s="29" t="s">
        <v>48</v>
      </c>
      <c r="E421" s="11" t="str">
        <f t="shared" si="20"/>
        <v>'=HLOOKUP($J$3,$E$3:$H$243,177,FALSE)</v>
      </c>
      <c r="Y421" s="11" t="s">
        <v>47</v>
      </c>
      <c r="Z421" s="11">
        <v>177</v>
      </c>
      <c r="AA421" s="29" t="s">
        <v>48</v>
      </c>
      <c r="AB421" s="11" t="str">
        <f t="shared" si="21"/>
        <v>'=HLOOKUP($J$3,$E$3:$H$243,177,FALSE)</v>
      </c>
    </row>
    <row r="422" spans="2:28" ht="12.75">
      <c r="B422" s="11" t="s">
        <v>47</v>
      </c>
      <c r="C422" s="11">
        <v>178</v>
      </c>
      <c r="D422" s="29" t="s">
        <v>48</v>
      </c>
      <c r="E422" s="11" t="str">
        <f t="shared" si="20"/>
        <v>'=HLOOKUP($J$3,$E$3:$H$243,178,FALSE)</v>
      </c>
      <c r="Y422" s="11" t="s">
        <v>47</v>
      </c>
      <c r="Z422" s="11">
        <v>178</v>
      </c>
      <c r="AA422" s="29" t="s">
        <v>48</v>
      </c>
      <c r="AB422" s="11" t="str">
        <f t="shared" si="21"/>
        <v>'=HLOOKUP($J$3,$E$3:$H$243,178,FALSE)</v>
      </c>
    </row>
    <row r="423" spans="2:28" ht="12.75">
      <c r="B423" s="11" t="s">
        <v>47</v>
      </c>
      <c r="C423" s="11">
        <v>179</v>
      </c>
      <c r="D423" s="29" t="s">
        <v>48</v>
      </c>
      <c r="E423" s="11" t="str">
        <f t="shared" si="20"/>
        <v>'=HLOOKUP($J$3,$E$3:$H$243,179,FALSE)</v>
      </c>
      <c r="Y423" s="11" t="s">
        <v>47</v>
      </c>
      <c r="Z423" s="11">
        <v>179</v>
      </c>
      <c r="AA423" s="29" t="s">
        <v>48</v>
      </c>
      <c r="AB423" s="11" t="str">
        <f t="shared" si="21"/>
        <v>'=HLOOKUP($J$3,$E$3:$H$243,179,FALSE)</v>
      </c>
    </row>
    <row r="424" spans="2:28" ht="12.75">
      <c r="B424" s="11" t="s">
        <v>47</v>
      </c>
      <c r="C424" s="11">
        <v>180</v>
      </c>
      <c r="D424" s="29" t="s">
        <v>48</v>
      </c>
      <c r="E424" s="11" t="str">
        <f t="shared" si="20"/>
        <v>'=HLOOKUP($J$3,$E$3:$H$243,180,FALSE)</v>
      </c>
      <c r="Y424" s="11" t="s">
        <v>47</v>
      </c>
      <c r="Z424" s="11">
        <v>180</v>
      </c>
      <c r="AA424" s="29" t="s">
        <v>48</v>
      </c>
      <c r="AB424" s="11" t="str">
        <f t="shared" si="21"/>
        <v>'=HLOOKUP($J$3,$E$3:$H$243,180,FALSE)</v>
      </c>
    </row>
    <row r="425" spans="2:28" ht="12.75">
      <c r="B425" s="11" t="s">
        <v>47</v>
      </c>
      <c r="C425" s="11">
        <v>181</v>
      </c>
      <c r="D425" s="29" t="s">
        <v>48</v>
      </c>
      <c r="E425" s="11" t="str">
        <f t="shared" si="20"/>
        <v>'=HLOOKUP($J$3,$E$3:$H$243,181,FALSE)</v>
      </c>
      <c r="Y425" s="11" t="s">
        <v>47</v>
      </c>
      <c r="Z425" s="11">
        <v>181</v>
      </c>
      <c r="AA425" s="29" t="s">
        <v>48</v>
      </c>
      <c r="AB425" s="11" t="str">
        <f t="shared" si="21"/>
        <v>'=HLOOKUP($J$3,$E$3:$H$243,181,FALSE)</v>
      </c>
    </row>
    <row r="426" spans="2:28" ht="12.75">
      <c r="B426" s="11" t="s">
        <v>47</v>
      </c>
      <c r="C426" s="11">
        <v>182</v>
      </c>
      <c r="D426" s="29" t="s">
        <v>48</v>
      </c>
      <c r="E426" s="11" t="str">
        <f t="shared" si="20"/>
        <v>'=HLOOKUP($J$3,$E$3:$H$243,182,FALSE)</v>
      </c>
      <c r="Y426" s="11" t="s">
        <v>47</v>
      </c>
      <c r="Z426" s="11">
        <v>182</v>
      </c>
      <c r="AA426" s="29" t="s">
        <v>48</v>
      </c>
      <c r="AB426" s="11" t="str">
        <f t="shared" si="21"/>
        <v>'=HLOOKUP($J$3,$E$3:$H$243,182,FALSE)</v>
      </c>
    </row>
    <row r="427" spans="2:28" ht="12.75">
      <c r="B427" s="11" t="s">
        <v>47</v>
      </c>
      <c r="C427" s="11">
        <v>183</v>
      </c>
      <c r="D427" s="29" t="s">
        <v>48</v>
      </c>
      <c r="E427" s="11" t="str">
        <f t="shared" si="20"/>
        <v>'=HLOOKUP($J$3,$E$3:$H$243,183,FALSE)</v>
      </c>
      <c r="Y427" s="11" t="s">
        <v>47</v>
      </c>
      <c r="Z427" s="11">
        <v>183</v>
      </c>
      <c r="AA427" s="29" t="s">
        <v>48</v>
      </c>
      <c r="AB427" s="11" t="str">
        <f t="shared" si="21"/>
        <v>'=HLOOKUP($J$3,$E$3:$H$243,183,FALSE)</v>
      </c>
    </row>
    <row r="428" spans="2:28" ht="12.75">
      <c r="B428" s="11" t="s">
        <v>47</v>
      </c>
      <c r="C428" s="11">
        <v>184</v>
      </c>
      <c r="D428" s="29" t="s">
        <v>48</v>
      </c>
      <c r="E428" s="11" t="str">
        <f t="shared" si="20"/>
        <v>'=HLOOKUP($J$3,$E$3:$H$243,184,FALSE)</v>
      </c>
      <c r="Y428" s="11" t="s">
        <v>47</v>
      </c>
      <c r="Z428" s="11">
        <v>184</v>
      </c>
      <c r="AA428" s="29" t="s">
        <v>48</v>
      </c>
      <c r="AB428" s="11" t="str">
        <f t="shared" si="21"/>
        <v>'=HLOOKUP($J$3,$E$3:$H$243,184,FALSE)</v>
      </c>
    </row>
    <row r="429" spans="2:28" ht="12.75">
      <c r="B429" s="11" t="s">
        <v>47</v>
      </c>
      <c r="C429" s="11">
        <v>185</v>
      </c>
      <c r="D429" s="29" t="s">
        <v>48</v>
      </c>
      <c r="E429" s="11" t="str">
        <f t="shared" si="20"/>
        <v>'=HLOOKUP($J$3,$E$3:$H$243,185,FALSE)</v>
      </c>
      <c r="Y429" s="11" t="s">
        <v>47</v>
      </c>
      <c r="Z429" s="11">
        <v>185</v>
      </c>
      <c r="AA429" s="29" t="s">
        <v>48</v>
      </c>
      <c r="AB429" s="11" t="str">
        <f t="shared" si="21"/>
        <v>'=HLOOKUP($J$3,$E$3:$H$243,185,FALSE)</v>
      </c>
    </row>
    <row r="430" spans="2:28" ht="12.75">
      <c r="B430" s="11" t="s">
        <v>47</v>
      </c>
      <c r="C430" s="11">
        <v>186</v>
      </c>
      <c r="D430" s="29" t="s">
        <v>48</v>
      </c>
      <c r="E430" s="11" t="str">
        <f t="shared" si="20"/>
        <v>'=HLOOKUP($J$3,$E$3:$H$243,186,FALSE)</v>
      </c>
      <c r="Y430" s="11" t="s">
        <v>47</v>
      </c>
      <c r="Z430" s="11">
        <v>186</v>
      </c>
      <c r="AA430" s="29" t="s">
        <v>48</v>
      </c>
      <c r="AB430" s="11" t="str">
        <f t="shared" si="21"/>
        <v>'=HLOOKUP($J$3,$E$3:$H$243,186,FALSE)</v>
      </c>
    </row>
    <row r="431" spans="2:28" ht="12.75">
      <c r="B431" s="11" t="s">
        <v>47</v>
      </c>
      <c r="C431" s="11">
        <v>187</v>
      </c>
      <c r="D431" s="29" t="s">
        <v>48</v>
      </c>
      <c r="E431" s="11" t="str">
        <f t="shared" si="20"/>
        <v>'=HLOOKUP($J$3,$E$3:$H$243,187,FALSE)</v>
      </c>
      <c r="Y431" s="11" t="s">
        <v>47</v>
      </c>
      <c r="Z431" s="11">
        <v>187</v>
      </c>
      <c r="AA431" s="29" t="s">
        <v>48</v>
      </c>
      <c r="AB431" s="11" t="str">
        <f t="shared" si="21"/>
        <v>'=HLOOKUP($J$3,$E$3:$H$243,187,FALSE)</v>
      </c>
    </row>
    <row r="432" spans="2:28" ht="12.75">
      <c r="B432" s="11" t="s">
        <v>47</v>
      </c>
      <c r="C432" s="11">
        <v>188</v>
      </c>
      <c r="D432" s="29" t="s">
        <v>48</v>
      </c>
      <c r="E432" s="11" t="str">
        <f t="shared" si="20"/>
        <v>'=HLOOKUP($J$3,$E$3:$H$243,188,FALSE)</v>
      </c>
      <c r="Y432" s="11" t="s">
        <v>47</v>
      </c>
      <c r="Z432" s="11">
        <v>188</v>
      </c>
      <c r="AA432" s="29" t="s">
        <v>48</v>
      </c>
      <c r="AB432" s="11" t="str">
        <f t="shared" si="21"/>
        <v>'=HLOOKUP($J$3,$E$3:$H$243,188,FALSE)</v>
      </c>
    </row>
    <row r="433" spans="2:28" ht="12.75">
      <c r="B433" s="11" t="s">
        <v>47</v>
      </c>
      <c r="C433" s="11">
        <v>189</v>
      </c>
      <c r="D433" s="29" t="s">
        <v>48</v>
      </c>
      <c r="E433" s="11" t="str">
        <f t="shared" si="20"/>
        <v>'=HLOOKUP($J$3,$E$3:$H$243,189,FALSE)</v>
      </c>
      <c r="Y433" s="11" t="s">
        <v>47</v>
      </c>
      <c r="Z433" s="11">
        <v>189</v>
      </c>
      <c r="AA433" s="29" t="s">
        <v>48</v>
      </c>
      <c r="AB433" s="11" t="str">
        <f t="shared" si="21"/>
        <v>'=HLOOKUP($J$3,$E$3:$H$243,189,FALSE)</v>
      </c>
    </row>
    <row r="434" spans="2:28" ht="12.75">
      <c r="B434" s="11" t="s">
        <v>47</v>
      </c>
      <c r="C434" s="11">
        <v>190</v>
      </c>
      <c r="D434" s="29" t="s">
        <v>48</v>
      </c>
      <c r="E434" s="11" t="str">
        <f t="shared" si="20"/>
        <v>'=HLOOKUP($J$3,$E$3:$H$243,190,FALSE)</v>
      </c>
      <c r="Y434" s="11" t="s">
        <v>47</v>
      </c>
      <c r="Z434" s="11">
        <v>190</v>
      </c>
      <c r="AA434" s="29" t="s">
        <v>48</v>
      </c>
      <c r="AB434" s="11" t="str">
        <f t="shared" si="21"/>
        <v>'=HLOOKUP($J$3,$E$3:$H$243,190,FALSE)</v>
      </c>
    </row>
    <row r="435" spans="2:28" ht="12.75">
      <c r="B435" s="11" t="s">
        <v>47</v>
      </c>
      <c r="C435" s="11">
        <v>191</v>
      </c>
      <c r="D435" s="29" t="s">
        <v>48</v>
      </c>
      <c r="E435" s="11" t="str">
        <f t="shared" si="20"/>
        <v>'=HLOOKUP($J$3,$E$3:$H$243,191,FALSE)</v>
      </c>
      <c r="Y435" s="11" t="s">
        <v>47</v>
      </c>
      <c r="Z435" s="11">
        <v>191</v>
      </c>
      <c r="AA435" s="29" t="s">
        <v>48</v>
      </c>
      <c r="AB435" s="11" t="str">
        <f t="shared" si="21"/>
        <v>'=HLOOKUP($J$3,$E$3:$H$243,191,FALSE)</v>
      </c>
    </row>
    <row r="436" spans="2:28" ht="12.75">
      <c r="B436" s="11" t="s">
        <v>47</v>
      </c>
      <c r="C436" s="11">
        <v>192</v>
      </c>
      <c r="D436" s="29" t="s">
        <v>48</v>
      </c>
      <c r="E436" s="11" t="str">
        <f t="shared" si="20"/>
        <v>'=HLOOKUP($J$3,$E$3:$H$243,192,FALSE)</v>
      </c>
      <c r="Y436" s="11" t="s">
        <v>47</v>
      </c>
      <c r="Z436" s="11">
        <v>192</v>
      </c>
      <c r="AA436" s="29" t="s">
        <v>48</v>
      </c>
      <c r="AB436" s="11" t="str">
        <f t="shared" si="21"/>
        <v>'=HLOOKUP($J$3,$E$3:$H$243,192,FALSE)</v>
      </c>
    </row>
    <row r="437" spans="2:28" ht="12.75">
      <c r="B437" s="11" t="s">
        <v>47</v>
      </c>
      <c r="C437" s="11">
        <v>193</v>
      </c>
      <c r="D437" s="29" t="s">
        <v>48</v>
      </c>
      <c r="E437" s="11" t="str">
        <f t="shared" si="20"/>
        <v>'=HLOOKUP($J$3,$E$3:$H$243,193,FALSE)</v>
      </c>
      <c r="Y437" s="11" t="s">
        <v>47</v>
      </c>
      <c r="Z437" s="11">
        <v>193</v>
      </c>
      <c r="AA437" s="29" t="s">
        <v>48</v>
      </c>
      <c r="AB437" s="11" t="str">
        <f t="shared" si="21"/>
        <v>'=HLOOKUP($J$3,$E$3:$H$243,193,FALSE)</v>
      </c>
    </row>
    <row r="438" spans="2:28" ht="12.75">
      <c r="B438" s="11" t="s">
        <v>47</v>
      </c>
      <c r="C438" s="11">
        <v>194</v>
      </c>
      <c r="D438" s="29" t="s">
        <v>48</v>
      </c>
      <c r="E438" s="11" t="str">
        <f t="shared" si="20"/>
        <v>'=HLOOKUP($J$3,$E$3:$H$243,194,FALSE)</v>
      </c>
      <c r="Y438" s="11" t="s">
        <v>47</v>
      </c>
      <c r="Z438" s="11">
        <v>194</v>
      </c>
      <c r="AA438" s="29" t="s">
        <v>48</v>
      </c>
      <c r="AB438" s="11" t="str">
        <f t="shared" si="21"/>
        <v>'=HLOOKUP($J$3,$E$3:$H$243,194,FALSE)</v>
      </c>
    </row>
    <row r="439" spans="2:28" ht="12.75">
      <c r="B439" s="11" t="s">
        <v>47</v>
      </c>
      <c r="C439" s="11">
        <v>195</v>
      </c>
      <c r="D439" s="29" t="s">
        <v>48</v>
      </c>
      <c r="E439" s="11" t="str">
        <f t="shared" si="20"/>
        <v>'=HLOOKUP($J$3,$E$3:$H$243,195,FALSE)</v>
      </c>
      <c r="Y439" s="11" t="s">
        <v>47</v>
      </c>
      <c r="Z439" s="11">
        <v>195</v>
      </c>
      <c r="AA439" s="29" t="s">
        <v>48</v>
      </c>
      <c r="AB439" s="11" t="str">
        <f t="shared" si="21"/>
        <v>'=HLOOKUP($J$3,$E$3:$H$243,195,FALSE)</v>
      </c>
    </row>
    <row r="440" spans="2:28" ht="12.75">
      <c r="B440" s="11" t="s">
        <v>47</v>
      </c>
      <c r="C440" s="11">
        <v>196</v>
      </c>
      <c r="D440" s="29" t="s">
        <v>48</v>
      </c>
      <c r="E440" s="11" t="str">
        <f t="shared" si="20"/>
        <v>'=HLOOKUP($J$3,$E$3:$H$243,196,FALSE)</v>
      </c>
      <c r="Y440" s="11" t="s">
        <v>47</v>
      </c>
      <c r="Z440" s="11">
        <v>196</v>
      </c>
      <c r="AA440" s="29" t="s">
        <v>48</v>
      </c>
      <c r="AB440" s="11" t="str">
        <f t="shared" si="21"/>
        <v>'=HLOOKUP($J$3,$E$3:$H$243,196,FALSE)</v>
      </c>
    </row>
    <row r="441" spans="2:28" ht="12.75">
      <c r="B441" s="11" t="s">
        <v>47</v>
      </c>
      <c r="C441" s="11">
        <v>197</v>
      </c>
      <c r="D441" s="29" t="s">
        <v>48</v>
      </c>
      <c r="E441" s="11" t="str">
        <f aca="true" t="shared" si="22" ref="E441:E494">CONCATENATE(B441,C441,D441)</f>
        <v>'=HLOOKUP($J$3,$E$3:$H$243,197,FALSE)</v>
      </c>
      <c r="Y441" s="11" t="s">
        <v>47</v>
      </c>
      <c r="Z441" s="11">
        <v>197</v>
      </c>
      <c r="AA441" s="29" t="s">
        <v>48</v>
      </c>
      <c r="AB441" s="11" t="str">
        <f aca="true" t="shared" si="23" ref="AB441:AB494">CONCATENATE(Y441,Z441,AA441)</f>
        <v>'=HLOOKUP($J$3,$E$3:$H$243,197,FALSE)</v>
      </c>
    </row>
    <row r="442" spans="2:28" ht="12.75">
      <c r="B442" s="11" t="s">
        <v>47</v>
      </c>
      <c r="C442" s="11">
        <v>198</v>
      </c>
      <c r="D442" s="29" t="s">
        <v>48</v>
      </c>
      <c r="E442" s="11" t="str">
        <f t="shared" si="22"/>
        <v>'=HLOOKUP($J$3,$E$3:$H$243,198,FALSE)</v>
      </c>
      <c r="Y442" s="11" t="s">
        <v>47</v>
      </c>
      <c r="Z442" s="11">
        <v>198</v>
      </c>
      <c r="AA442" s="29" t="s">
        <v>48</v>
      </c>
      <c r="AB442" s="11" t="str">
        <f t="shared" si="23"/>
        <v>'=HLOOKUP($J$3,$E$3:$H$243,198,FALSE)</v>
      </c>
    </row>
    <row r="443" spans="2:28" ht="12.75">
      <c r="B443" s="11" t="s">
        <v>47</v>
      </c>
      <c r="C443" s="11">
        <v>199</v>
      </c>
      <c r="D443" s="29" t="s">
        <v>48</v>
      </c>
      <c r="E443" s="11" t="str">
        <f t="shared" si="22"/>
        <v>'=HLOOKUP($J$3,$E$3:$H$243,199,FALSE)</v>
      </c>
      <c r="Y443" s="11" t="s">
        <v>47</v>
      </c>
      <c r="Z443" s="11">
        <v>199</v>
      </c>
      <c r="AA443" s="29" t="s">
        <v>48</v>
      </c>
      <c r="AB443" s="11" t="str">
        <f t="shared" si="23"/>
        <v>'=HLOOKUP($J$3,$E$3:$H$243,199,FALSE)</v>
      </c>
    </row>
    <row r="444" spans="2:28" ht="12.75">
      <c r="B444" s="11" t="s">
        <v>47</v>
      </c>
      <c r="C444" s="11">
        <v>200</v>
      </c>
      <c r="D444" s="29" t="s">
        <v>48</v>
      </c>
      <c r="E444" s="11" t="str">
        <f t="shared" si="22"/>
        <v>'=HLOOKUP($J$3,$E$3:$H$243,200,FALSE)</v>
      </c>
      <c r="Y444" s="11" t="s">
        <v>47</v>
      </c>
      <c r="Z444" s="11">
        <v>200</v>
      </c>
      <c r="AA444" s="29" t="s">
        <v>48</v>
      </c>
      <c r="AB444" s="11" t="str">
        <f t="shared" si="23"/>
        <v>'=HLOOKUP($J$3,$E$3:$H$243,200,FALSE)</v>
      </c>
    </row>
    <row r="445" spans="2:28" ht="12.75">
      <c r="B445" s="11" t="s">
        <v>47</v>
      </c>
      <c r="C445" s="11">
        <v>201</v>
      </c>
      <c r="D445" s="29" t="s">
        <v>48</v>
      </c>
      <c r="E445" s="11" t="str">
        <f t="shared" si="22"/>
        <v>'=HLOOKUP($J$3,$E$3:$H$243,201,FALSE)</v>
      </c>
      <c r="Y445" s="11" t="s">
        <v>47</v>
      </c>
      <c r="Z445" s="11">
        <v>201</v>
      </c>
      <c r="AA445" s="29" t="s">
        <v>48</v>
      </c>
      <c r="AB445" s="11" t="str">
        <f t="shared" si="23"/>
        <v>'=HLOOKUP($J$3,$E$3:$H$243,201,FALSE)</v>
      </c>
    </row>
    <row r="446" spans="2:28" ht="12.75">
      <c r="B446" s="11" t="s">
        <v>47</v>
      </c>
      <c r="C446" s="11">
        <v>202</v>
      </c>
      <c r="D446" s="29" t="s">
        <v>48</v>
      </c>
      <c r="E446" s="11" t="str">
        <f t="shared" si="22"/>
        <v>'=HLOOKUP($J$3,$E$3:$H$243,202,FALSE)</v>
      </c>
      <c r="Y446" s="11" t="s">
        <v>47</v>
      </c>
      <c r="Z446" s="11">
        <v>202</v>
      </c>
      <c r="AA446" s="29" t="s">
        <v>48</v>
      </c>
      <c r="AB446" s="11" t="str">
        <f t="shared" si="23"/>
        <v>'=HLOOKUP($J$3,$E$3:$H$243,202,FALSE)</v>
      </c>
    </row>
    <row r="447" spans="2:28" ht="12.75">
      <c r="B447" s="11" t="s">
        <v>47</v>
      </c>
      <c r="C447" s="11">
        <v>203</v>
      </c>
      <c r="D447" s="29" t="s">
        <v>48</v>
      </c>
      <c r="E447" s="11" t="str">
        <f t="shared" si="22"/>
        <v>'=HLOOKUP($J$3,$E$3:$H$243,203,FALSE)</v>
      </c>
      <c r="Y447" s="11" t="s">
        <v>47</v>
      </c>
      <c r="Z447" s="11">
        <v>203</v>
      </c>
      <c r="AA447" s="29" t="s">
        <v>48</v>
      </c>
      <c r="AB447" s="11" t="str">
        <f t="shared" si="23"/>
        <v>'=HLOOKUP($J$3,$E$3:$H$243,203,FALSE)</v>
      </c>
    </row>
    <row r="448" spans="2:28" ht="12.75">
      <c r="B448" s="11" t="s">
        <v>47</v>
      </c>
      <c r="C448" s="11">
        <v>204</v>
      </c>
      <c r="D448" s="29" t="s">
        <v>48</v>
      </c>
      <c r="E448" s="11" t="str">
        <f t="shared" si="22"/>
        <v>'=HLOOKUP($J$3,$E$3:$H$243,204,FALSE)</v>
      </c>
      <c r="Y448" s="11" t="s">
        <v>47</v>
      </c>
      <c r="Z448" s="11">
        <v>204</v>
      </c>
      <c r="AA448" s="29" t="s">
        <v>48</v>
      </c>
      <c r="AB448" s="11" t="str">
        <f t="shared" si="23"/>
        <v>'=HLOOKUP($J$3,$E$3:$H$243,204,FALSE)</v>
      </c>
    </row>
    <row r="449" spans="2:28" ht="12.75">
      <c r="B449" s="11" t="s">
        <v>47</v>
      </c>
      <c r="C449" s="11">
        <v>205</v>
      </c>
      <c r="D449" s="29" t="s">
        <v>48</v>
      </c>
      <c r="E449" s="11" t="str">
        <f t="shared" si="22"/>
        <v>'=HLOOKUP($J$3,$E$3:$H$243,205,FALSE)</v>
      </c>
      <c r="Y449" s="11" t="s">
        <v>47</v>
      </c>
      <c r="Z449" s="11">
        <v>205</v>
      </c>
      <c r="AA449" s="29" t="s">
        <v>48</v>
      </c>
      <c r="AB449" s="11" t="str">
        <f t="shared" si="23"/>
        <v>'=HLOOKUP($J$3,$E$3:$H$243,205,FALSE)</v>
      </c>
    </row>
    <row r="450" spans="2:28" ht="12.75">
      <c r="B450" s="11" t="s">
        <v>47</v>
      </c>
      <c r="C450" s="11">
        <v>206</v>
      </c>
      <c r="D450" s="29" t="s">
        <v>48</v>
      </c>
      <c r="E450" s="11" t="str">
        <f t="shared" si="22"/>
        <v>'=HLOOKUP($J$3,$E$3:$H$243,206,FALSE)</v>
      </c>
      <c r="Y450" s="11" t="s">
        <v>47</v>
      </c>
      <c r="Z450" s="11">
        <v>206</v>
      </c>
      <c r="AA450" s="29" t="s">
        <v>48</v>
      </c>
      <c r="AB450" s="11" t="str">
        <f t="shared" si="23"/>
        <v>'=HLOOKUP($J$3,$E$3:$H$243,206,FALSE)</v>
      </c>
    </row>
    <row r="451" spans="2:28" ht="12.75">
      <c r="B451" s="11" t="s">
        <v>47</v>
      </c>
      <c r="C451" s="11">
        <v>207</v>
      </c>
      <c r="D451" s="29" t="s">
        <v>48</v>
      </c>
      <c r="E451" s="11" t="str">
        <f t="shared" si="22"/>
        <v>'=HLOOKUP($J$3,$E$3:$H$243,207,FALSE)</v>
      </c>
      <c r="Y451" s="11" t="s">
        <v>47</v>
      </c>
      <c r="Z451" s="11">
        <v>207</v>
      </c>
      <c r="AA451" s="29" t="s">
        <v>48</v>
      </c>
      <c r="AB451" s="11" t="str">
        <f t="shared" si="23"/>
        <v>'=HLOOKUP($J$3,$E$3:$H$243,207,FALSE)</v>
      </c>
    </row>
    <row r="452" spans="2:28" ht="12.75">
      <c r="B452" s="11" t="s">
        <v>47</v>
      </c>
      <c r="C452" s="11">
        <v>208</v>
      </c>
      <c r="D452" s="29" t="s">
        <v>48</v>
      </c>
      <c r="E452" s="11" t="str">
        <f t="shared" si="22"/>
        <v>'=HLOOKUP($J$3,$E$3:$H$243,208,FALSE)</v>
      </c>
      <c r="Y452" s="11" t="s">
        <v>47</v>
      </c>
      <c r="Z452" s="11">
        <v>208</v>
      </c>
      <c r="AA452" s="29" t="s">
        <v>48</v>
      </c>
      <c r="AB452" s="11" t="str">
        <f t="shared" si="23"/>
        <v>'=HLOOKUP($J$3,$E$3:$H$243,208,FALSE)</v>
      </c>
    </row>
    <row r="453" spans="2:28" ht="12.75">
      <c r="B453" s="11" t="s">
        <v>47</v>
      </c>
      <c r="C453" s="11">
        <v>209</v>
      </c>
      <c r="D453" s="29" t="s">
        <v>48</v>
      </c>
      <c r="E453" s="11" t="str">
        <f t="shared" si="22"/>
        <v>'=HLOOKUP($J$3,$E$3:$H$243,209,FALSE)</v>
      </c>
      <c r="Y453" s="11" t="s">
        <v>47</v>
      </c>
      <c r="Z453" s="11">
        <v>209</v>
      </c>
      <c r="AA453" s="29" t="s">
        <v>48</v>
      </c>
      <c r="AB453" s="11" t="str">
        <f t="shared" si="23"/>
        <v>'=HLOOKUP($J$3,$E$3:$H$243,209,FALSE)</v>
      </c>
    </row>
    <row r="454" spans="2:28" ht="12.75">
      <c r="B454" s="11" t="s">
        <v>47</v>
      </c>
      <c r="C454" s="11">
        <v>210</v>
      </c>
      <c r="D454" s="29" t="s">
        <v>48</v>
      </c>
      <c r="E454" s="11" t="str">
        <f t="shared" si="22"/>
        <v>'=HLOOKUP($J$3,$E$3:$H$243,210,FALSE)</v>
      </c>
      <c r="Y454" s="11" t="s">
        <v>47</v>
      </c>
      <c r="Z454" s="11">
        <v>210</v>
      </c>
      <c r="AA454" s="29" t="s">
        <v>48</v>
      </c>
      <c r="AB454" s="11" t="str">
        <f t="shared" si="23"/>
        <v>'=HLOOKUP($J$3,$E$3:$H$243,210,FALSE)</v>
      </c>
    </row>
    <row r="455" spans="2:28" ht="12.75">
      <c r="B455" s="11" t="s">
        <v>47</v>
      </c>
      <c r="C455" s="11">
        <v>211</v>
      </c>
      <c r="D455" s="29" t="s">
        <v>48</v>
      </c>
      <c r="E455" s="11" t="str">
        <f t="shared" si="22"/>
        <v>'=HLOOKUP($J$3,$E$3:$H$243,211,FALSE)</v>
      </c>
      <c r="Y455" s="11" t="s">
        <v>47</v>
      </c>
      <c r="Z455" s="11">
        <v>211</v>
      </c>
      <c r="AA455" s="29" t="s">
        <v>48</v>
      </c>
      <c r="AB455" s="11" t="str">
        <f t="shared" si="23"/>
        <v>'=HLOOKUP($J$3,$E$3:$H$243,211,FALSE)</v>
      </c>
    </row>
    <row r="456" spans="2:28" ht="12.75">
      <c r="B456" s="11" t="s">
        <v>47</v>
      </c>
      <c r="C456" s="11">
        <v>212</v>
      </c>
      <c r="D456" s="29" t="s">
        <v>48</v>
      </c>
      <c r="E456" s="11" t="str">
        <f t="shared" si="22"/>
        <v>'=HLOOKUP($J$3,$E$3:$H$243,212,FALSE)</v>
      </c>
      <c r="Y456" s="11" t="s">
        <v>47</v>
      </c>
      <c r="Z456" s="11">
        <v>212</v>
      </c>
      <c r="AA456" s="29" t="s">
        <v>48</v>
      </c>
      <c r="AB456" s="11" t="str">
        <f t="shared" si="23"/>
        <v>'=HLOOKUP($J$3,$E$3:$H$243,212,FALSE)</v>
      </c>
    </row>
    <row r="457" spans="2:28" ht="12.75">
      <c r="B457" s="11" t="s">
        <v>47</v>
      </c>
      <c r="C457" s="11">
        <v>213</v>
      </c>
      <c r="D457" s="29" t="s">
        <v>48</v>
      </c>
      <c r="E457" s="11" t="str">
        <f t="shared" si="22"/>
        <v>'=HLOOKUP($J$3,$E$3:$H$243,213,FALSE)</v>
      </c>
      <c r="Y457" s="11" t="s">
        <v>47</v>
      </c>
      <c r="Z457" s="11">
        <v>213</v>
      </c>
      <c r="AA457" s="29" t="s">
        <v>48</v>
      </c>
      <c r="AB457" s="11" t="str">
        <f t="shared" si="23"/>
        <v>'=HLOOKUP($J$3,$E$3:$H$243,213,FALSE)</v>
      </c>
    </row>
    <row r="458" spans="2:28" ht="12.75">
      <c r="B458" s="11" t="s">
        <v>47</v>
      </c>
      <c r="C458" s="11">
        <v>214</v>
      </c>
      <c r="D458" s="29" t="s">
        <v>48</v>
      </c>
      <c r="E458" s="11" t="str">
        <f t="shared" si="22"/>
        <v>'=HLOOKUP($J$3,$E$3:$H$243,214,FALSE)</v>
      </c>
      <c r="Y458" s="11" t="s">
        <v>47</v>
      </c>
      <c r="Z458" s="11">
        <v>214</v>
      </c>
      <c r="AA458" s="29" t="s">
        <v>48</v>
      </c>
      <c r="AB458" s="11" t="str">
        <f t="shared" si="23"/>
        <v>'=HLOOKUP($J$3,$E$3:$H$243,214,FALSE)</v>
      </c>
    </row>
    <row r="459" spans="2:28" ht="12.75">
      <c r="B459" s="11" t="s">
        <v>47</v>
      </c>
      <c r="C459" s="11">
        <v>215</v>
      </c>
      <c r="D459" s="29" t="s">
        <v>48</v>
      </c>
      <c r="E459" s="11" t="str">
        <f t="shared" si="22"/>
        <v>'=HLOOKUP($J$3,$E$3:$H$243,215,FALSE)</v>
      </c>
      <c r="Y459" s="11" t="s">
        <v>47</v>
      </c>
      <c r="Z459" s="11">
        <v>215</v>
      </c>
      <c r="AA459" s="29" t="s">
        <v>48</v>
      </c>
      <c r="AB459" s="11" t="str">
        <f t="shared" si="23"/>
        <v>'=HLOOKUP($J$3,$E$3:$H$243,215,FALSE)</v>
      </c>
    </row>
    <row r="460" spans="2:28" ht="12.75">
      <c r="B460" s="11" t="s">
        <v>47</v>
      </c>
      <c r="C460" s="11">
        <v>216</v>
      </c>
      <c r="D460" s="29" t="s">
        <v>48</v>
      </c>
      <c r="E460" s="11" t="str">
        <f t="shared" si="22"/>
        <v>'=HLOOKUP($J$3,$E$3:$H$243,216,FALSE)</v>
      </c>
      <c r="Y460" s="11" t="s">
        <v>47</v>
      </c>
      <c r="Z460" s="11">
        <v>216</v>
      </c>
      <c r="AA460" s="29" t="s">
        <v>48</v>
      </c>
      <c r="AB460" s="11" t="str">
        <f t="shared" si="23"/>
        <v>'=HLOOKUP($J$3,$E$3:$H$243,216,FALSE)</v>
      </c>
    </row>
    <row r="461" spans="2:28" ht="12.75">
      <c r="B461" s="11" t="s">
        <v>47</v>
      </c>
      <c r="C461" s="11">
        <v>217</v>
      </c>
      <c r="D461" s="29" t="s">
        <v>48</v>
      </c>
      <c r="E461" s="11" t="str">
        <f t="shared" si="22"/>
        <v>'=HLOOKUP($J$3,$E$3:$H$243,217,FALSE)</v>
      </c>
      <c r="Y461" s="11" t="s">
        <v>47</v>
      </c>
      <c r="Z461" s="11">
        <v>217</v>
      </c>
      <c r="AA461" s="29" t="s">
        <v>48</v>
      </c>
      <c r="AB461" s="11" t="str">
        <f t="shared" si="23"/>
        <v>'=HLOOKUP($J$3,$E$3:$H$243,217,FALSE)</v>
      </c>
    </row>
    <row r="462" spans="2:28" ht="12.75">
      <c r="B462" s="11" t="s">
        <v>47</v>
      </c>
      <c r="C462" s="11">
        <v>218</v>
      </c>
      <c r="D462" s="29" t="s">
        <v>48</v>
      </c>
      <c r="E462" s="11" t="str">
        <f t="shared" si="22"/>
        <v>'=HLOOKUP($J$3,$E$3:$H$243,218,FALSE)</v>
      </c>
      <c r="Y462" s="11" t="s">
        <v>47</v>
      </c>
      <c r="Z462" s="11">
        <v>218</v>
      </c>
      <c r="AA462" s="29" t="s">
        <v>48</v>
      </c>
      <c r="AB462" s="11" t="str">
        <f t="shared" si="23"/>
        <v>'=HLOOKUP($J$3,$E$3:$H$243,218,FALSE)</v>
      </c>
    </row>
    <row r="463" spans="2:28" ht="12.75">
      <c r="B463" s="11" t="s">
        <v>47</v>
      </c>
      <c r="C463" s="11">
        <v>219</v>
      </c>
      <c r="D463" s="29" t="s">
        <v>48</v>
      </c>
      <c r="E463" s="11" t="str">
        <f t="shared" si="22"/>
        <v>'=HLOOKUP($J$3,$E$3:$H$243,219,FALSE)</v>
      </c>
      <c r="Y463" s="11" t="s">
        <v>47</v>
      </c>
      <c r="Z463" s="11">
        <v>219</v>
      </c>
      <c r="AA463" s="29" t="s">
        <v>48</v>
      </c>
      <c r="AB463" s="11" t="str">
        <f t="shared" si="23"/>
        <v>'=HLOOKUP($J$3,$E$3:$H$243,219,FALSE)</v>
      </c>
    </row>
    <row r="464" spans="2:28" ht="12.75">
      <c r="B464" s="11" t="s">
        <v>47</v>
      </c>
      <c r="C464" s="11">
        <v>220</v>
      </c>
      <c r="D464" s="29" t="s">
        <v>48</v>
      </c>
      <c r="E464" s="11" t="str">
        <f t="shared" si="22"/>
        <v>'=HLOOKUP($J$3,$E$3:$H$243,220,FALSE)</v>
      </c>
      <c r="Y464" s="11" t="s">
        <v>47</v>
      </c>
      <c r="Z464" s="11">
        <v>220</v>
      </c>
      <c r="AA464" s="29" t="s">
        <v>48</v>
      </c>
      <c r="AB464" s="11" t="str">
        <f t="shared" si="23"/>
        <v>'=HLOOKUP($J$3,$E$3:$H$243,220,FALSE)</v>
      </c>
    </row>
    <row r="465" spans="2:28" ht="12.75">
      <c r="B465" s="11" t="s">
        <v>47</v>
      </c>
      <c r="C465" s="11">
        <v>221</v>
      </c>
      <c r="D465" s="29" t="s">
        <v>48</v>
      </c>
      <c r="E465" s="11" t="str">
        <f t="shared" si="22"/>
        <v>'=HLOOKUP($J$3,$E$3:$H$243,221,FALSE)</v>
      </c>
      <c r="Y465" s="11" t="s">
        <v>47</v>
      </c>
      <c r="Z465" s="11">
        <v>221</v>
      </c>
      <c r="AA465" s="29" t="s">
        <v>48</v>
      </c>
      <c r="AB465" s="11" t="str">
        <f t="shared" si="23"/>
        <v>'=HLOOKUP($J$3,$E$3:$H$243,221,FALSE)</v>
      </c>
    </row>
    <row r="466" spans="2:28" ht="12.75">
      <c r="B466" s="11" t="s">
        <v>47</v>
      </c>
      <c r="C466" s="11">
        <v>222</v>
      </c>
      <c r="D466" s="29" t="s">
        <v>48</v>
      </c>
      <c r="E466" s="11" t="str">
        <f t="shared" si="22"/>
        <v>'=HLOOKUP($J$3,$E$3:$H$243,222,FALSE)</v>
      </c>
      <c r="Y466" s="11" t="s">
        <v>47</v>
      </c>
      <c r="Z466" s="11">
        <v>222</v>
      </c>
      <c r="AA466" s="29" t="s">
        <v>48</v>
      </c>
      <c r="AB466" s="11" t="str">
        <f t="shared" si="23"/>
        <v>'=HLOOKUP($J$3,$E$3:$H$243,222,FALSE)</v>
      </c>
    </row>
    <row r="467" spans="2:28" ht="12.75">
      <c r="B467" s="11" t="s">
        <v>47</v>
      </c>
      <c r="C467" s="11">
        <v>223</v>
      </c>
      <c r="D467" s="29" t="s">
        <v>48</v>
      </c>
      <c r="E467" s="11" t="str">
        <f t="shared" si="22"/>
        <v>'=HLOOKUP($J$3,$E$3:$H$243,223,FALSE)</v>
      </c>
      <c r="Y467" s="11" t="s">
        <v>47</v>
      </c>
      <c r="Z467" s="11">
        <v>223</v>
      </c>
      <c r="AA467" s="29" t="s">
        <v>48</v>
      </c>
      <c r="AB467" s="11" t="str">
        <f t="shared" si="23"/>
        <v>'=HLOOKUP($J$3,$E$3:$H$243,223,FALSE)</v>
      </c>
    </row>
    <row r="468" spans="2:28" ht="12.75">
      <c r="B468" s="11" t="s">
        <v>47</v>
      </c>
      <c r="C468" s="11">
        <v>224</v>
      </c>
      <c r="D468" s="29" t="s">
        <v>48</v>
      </c>
      <c r="E468" s="11" t="str">
        <f t="shared" si="22"/>
        <v>'=HLOOKUP($J$3,$E$3:$H$243,224,FALSE)</v>
      </c>
      <c r="Y468" s="11" t="s">
        <v>47</v>
      </c>
      <c r="Z468" s="11">
        <v>224</v>
      </c>
      <c r="AA468" s="29" t="s">
        <v>48</v>
      </c>
      <c r="AB468" s="11" t="str">
        <f t="shared" si="23"/>
        <v>'=HLOOKUP($J$3,$E$3:$H$243,224,FALSE)</v>
      </c>
    </row>
    <row r="469" spans="2:28" ht="12.75">
      <c r="B469" s="11" t="s">
        <v>47</v>
      </c>
      <c r="C469" s="11">
        <v>225</v>
      </c>
      <c r="D469" s="29" t="s">
        <v>48</v>
      </c>
      <c r="E469" s="11" t="str">
        <f t="shared" si="22"/>
        <v>'=HLOOKUP($J$3,$E$3:$H$243,225,FALSE)</v>
      </c>
      <c r="Y469" s="11" t="s">
        <v>47</v>
      </c>
      <c r="Z469" s="11">
        <v>225</v>
      </c>
      <c r="AA469" s="29" t="s">
        <v>48</v>
      </c>
      <c r="AB469" s="11" t="str">
        <f t="shared" si="23"/>
        <v>'=HLOOKUP($J$3,$E$3:$H$243,225,FALSE)</v>
      </c>
    </row>
    <row r="470" spans="2:28" ht="12.75">
      <c r="B470" s="11" t="s">
        <v>47</v>
      </c>
      <c r="C470" s="11">
        <v>226</v>
      </c>
      <c r="D470" s="29" t="s">
        <v>48</v>
      </c>
      <c r="E470" s="11" t="str">
        <f t="shared" si="22"/>
        <v>'=HLOOKUP($J$3,$E$3:$H$243,226,FALSE)</v>
      </c>
      <c r="Y470" s="11" t="s">
        <v>47</v>
      </c>
      <c r="Z470" s="11">
        <v>226</v>
      </c>
      <c r="AA470" s="29" t="s">
        <v>48</v>
      </c>
      <c r="AB470" s="11" t="str">
        <f t="shared" si="23"/>
        <v>'=HLOOKUP($J$3,$E$3:$H$243,226,FALSE)</v>
      </c>
    </row>
    <row r="471" spans="2:28" ht="12.75">
      <c r="B471" s="11" t="s">
        <v>47</v>
      </c>
      <c r="C471" s="11">
        <v>227</v>
      </c>
      <c r="D471" s="29" t="s">
        <v>48</v>
      </c>
      <c r="E471" s="11" t="str">
        <f t="shared" si="22"/>
        <v>'=HLOOKUP($J$3,$E$3:$H$243,227,FALSE)</v>
      </c>
      <c r="Y471" s="11" t="s">
        <v>47</v>
      </c>
      <c r="Z471" s="11">
        <v>227</v>
      </c>
      <c r="AA471" s="29" t="s">
        <v>48</v>
      </c>
      <c r="AB471" s="11" t="str">
        <f t="shared" si="23"/>
        <v>'=HLOOKUP($J$3,$E$3:$H$243,227,FALSE)</v>
      </c>
    </row>
    <row r="472" spans="2:28" ht="12.75">
      <c r="B472" s="11" t="s">
        <v>47</v>
      </c>
      <c r="C472" s="11">
        <v>228</v>
      </c>
      <c r="D472" s="29" t="s">
        <v>48</v>
      </c>
      <c r="E472" s="11" t="str">
        <f t="shared" si="22"/>
        <v>'=HLOOKUP($J$3,$E$3:$H$243,228,FALSE)</v>
      </c>
      <c r="Y472" s="11" t="s">
        <v>47</v>
      </c>
      <c r="Z472" s="11">
        <v>228</v>
      </c>
      <c r="AA472" s="29" t="s">
        <v>48</v>
      </c>
      <c r="AB472" s="11" t="str">
        <f t="shared" si="23"/>
        <v>'=HLOOKUP($J$3,$E$3:$H$243,228,FALSE)</v>
      </c>
    </row>
    <row r="473" spans="2:28" ht="12.75">
      <c r="B473" s="11" t="s">
        <v>47</v>
      </c>
      <c r="C473" s="11">
        <v>229</v>
      </c>
      <c r="D473" s="29" t="s">
        <v>48</v>
      </c>
      <c r="E473" s="11" t="str">
        <f t="shared" si="22"/>
        <v>'=HLOOKUP($J$3,$E$3:$H$243,229,FALSE)</v>
      </c>
      <c r="Y473" s="11" t="s">
        <v>47</v>
      </c>
      <c r="Z473" s="11">
        <v>229</v>
      </c>
      <c r="AA473" s="29" t="s">
        <v>48</v>
      </c>
      <c r="AB473" s="11" t="str">
        <f t="shared" si="23"/>
        <v>'=HLOOKUP($J$3,$E$3:$H$243,229,FALSE)</v>
      </c>
    </row>
    <row r="474" spans="2:28" ht="12.75">
      <c r="B474" s="11" t="s">
        <v>47</v>
      </c>
      <c r="C474" s="11">
        <v>230</v>
      </c>
      <c r="D474" s="29" t="s">
        <v>48</v>
      </c>
      <c r="E474" s="11" t="str">
        <f t="shared" si="22"/>
        <v>'=HLOOKUP($J$3,$E$3:$H$243,230,FALSE)</v>
      </c>
      <c r="Y474" s="11" t="s">
        <v>47</v>
      </c>
      <c r="Z474" s="11">
        <v>230</v>
      </c>
      <c r="AA474" s="29" t="s">
        <v>48</v>
      </c>
      <c r="AB474" s="11" t="str">
        <f t="shared" si="23"/>
        <v>'=HLOOKUP($J$3,$E$3:$H$243,230,FALSE)</v>
      </c>
    </row>
    <row r="475" spans="2:28" ht="12.75">
      <c r="B475" s="11" t="s">
        <v>47</v>
      </c>
      <c r="C475" s="11">
        <v>231</v>
      </c>
      <c r="D475" s="29" t="s">
        <v>48</v>
      </c>
      <c r="E475" s="11" t="str">
        <f t="shared" si="22"/>
        <v>'=HLOOKUP($J$3,$E$3:$H$243,231,FALSE)</v>
      </c>
      <c r="Y475" s="11" t="s">
        <v>47</v>
      </c>
      <c r="Z475" s="11">
        <v>231</v>
      </c>
      <c r="AA475" s="29" t="s">
        <v>48</v>
      </c>
      <c r="AB475" s="11" t="str">
        <f t="shared" si="23"/>
        <v>'=HLOOKUP($J$3,$E$3:$H$243,231,FALSE)</v>
      </c>
    </row>
    <row r="476" spans="2:28" ht="12.75">
      <c r="B476" s="11" t="s">
        <v>47</v>
      </c>
      <c r="C476" s="11">
        <v>232</v>
      </c>
      <c r="D476" s="29" t="s">
        <v>48</v>
      </c>
      <c r="E476" s="11" t="str">
        <f t="shared" si="22"/>
        <v>'=HLOOKUP($J$3,$E$3:$H$243,232,FALSE)</v>
      </c>
      <c r="Y476" s="11" t="s">
        <v>47</v>
      </c>
      <c r="Z476" s="11">
        <v>232</v>
      </c>
      <c r="AA476" s="29" t="s">
        <v>48</v>
      </c>
      <c r="AB476" s="11" t="str">
        <f t="shared" si="23"/>
        <v>'=HLOOKUP($J$3,$E$3:$H$243,232,FALSE)</v>
      </c>
    </row>
    <row r="477" spans="2:28" ht="12.75">
      <c r="B477" s="11" t="s">
        <v>47</v>
      </c>
      <c r="C477" s="11">
        <v>233</v>
      </c>
      <c r="D477" s="29" t="s">
        <v>48</v>
      </c>
      <c r="E477" s="11" t="str">
        <f t="shared" si="22"/>
        <v>'=HLOOKUP($J$3,$E$3:$H$243,233,FALSE)</v>
      </c>
      <c r="Y477" s="11" t="s">
        <v>47</v>
      </c>
      <c r="Z477" s="11">
        <v>233</v>
      </c>
      <c r="AA477" s="29" t="s">
        <v>48</v>
      </c>
      <c r="AB477" s="11" t="str">
        <f t="shared" si="23"/>
        <v>'=HLOOKUP($J$3,$E$3:$H$243,233,FALSE)</v>
      </c>
    </row>
    <row r="478" spans="2:28" ht="12.75">
      <c r="B478" s="11" t="s">
        <v>47</v>
      </c>
      <c r="C478" s="11">
        <v>234</v>
      </c>
      <c r="D478" s="29" t="s">
        <v>48</v>
      </c>
      <c r="E478" s="11" t="str">
        <f t="shared" si="22"/>
        <v>'=HLOOKUP($J$3,$E$3:$H$243,234,FALSE)</v>
      </c>
      <c r="Y478" s="11" t="s">
        <v>47</v>
      </c>
      <c r="Z478" s="11">
        <v>234</v>
      </c>
      <c r="AA478" s="29" t="s">
        <v>48</v>
      </c>
      <c r="AB478" s="11" t="str">
        <f t="shared" si="23"/>
        <v>'=HLOOKUP($J$3,$E$3:$H$243,234,FALSE)</v>
      </c>
    </row>
    <row r="479" spans="2:28" ht="12.75">
      <c r="B479" s="11" t="s">
        <v>47</v>
      </c>
      <c r="C479" s="11">
        <v>235</v>
      </c>
      <c r="D479" s="29" t="s">
        <v>48</v>
      </c>
      <c r="E479" s="11" t="str">
        <f t="shared" si="22"/>
        <v>'=HLOOKUP($J$3,$E$3:$H$243,235,FALSE)</v>
      </c>
      <c r="Y479" s="11" t="s">
        <v>47</v>
      </c>
      <c r="Z479" s="11">
        <v>235</v>
      </c>
      <c r="AA479" s="29" t="s">
        <v>48</v>
      </c>
      <c r="AB479" s="11" t="str">
        <f t="shared" si="23"/>
        <v>'=HLOOKUP($J$3,$E$3:$H$243,235,FALSE)</v>
      </c>
    </row>
    <row r="480" spans="2:28" ht="12.75">
      <c r="B480" s="11" t="s">
        <v>47</v>
      </c>
      <c r="C480" s="11">
        <v>236</v>
      </c>
      <c r="D480" s="29" t="s">
        <v>48</v>
      </c>
      <c r="E480" s="11" t="str">
        <f t="shared" si="22"/>
        <v>'=HLOOKUP($J$3,$E$3:$H$243,236,FALSE)</v>
      </c>
      <c r="Y480" s="11" t="s">
        <v>47</v>
      </c>
      <c r="Z480" s="11">
        <v>236</v>
      </c>
      <c r="AA480" s="29" t="s">
        <v>48</v>
      </c>
      <c r="AB480" s="11" t="str">
        <f t="shared" si="23"/>
        <v>'=HLOOKUP($J$3,$E$3:$H$243,236,FALSE)</v>
      </c>
    </row>
    <row r="481" spans="2:28" ht="12.75">
      <c r="B481" s="11" t="s">
        <v>47</v>
      </c>
      <c r="C481" s="11">
        <v>237</v>
      </c>
      <c r="D481" s="29" t="s">
        <v>48</v>
      </c>
      <c r="E481" s="11" t="str">
        <f t="shared" si="22"/>
        <v>'=HLOOKUP($J$3,$E$3:$H$243,237,FALSE)</v>
      </c>
      <c r="Y481" s="11" t="s">
        <v>47</v>
      </c>
      <c r="Z481" s="11">
        <v>237</v>
      </c>
      <c r="AA481" s="29" t="s">
        <v>48</v>
      </c>
      <c r="AB481" s="11" t="str">
        <f t="shared" si="23"/>
        <v>'=HLOOKUP($J$3,$E$3:$H$243,237,FALSE)</v>
      </c>
    </row>
    <row r="482" spans="2:28" ht="12.75">
      <c r="B482" s="11" t="s">
        <v>47</v>
      </c>
      <c r="C482" s="11">
        <v>238</v>
      </c>
      <c r="D482" s="29" t="s">
        <v>48</v>
      </c>
      <c r="E482" s="11" t="str">
        <f t="shared" si="22"/>
        <v>'=HLOOKUP($J$3,$E$3:$H$243,238,FALSE)</v>
      </c>
      <c r="Y482" s="11" t="s">
        <v>47</v>
      </c>
      <c r="Z482" s="11">
        <v>238</v>
      </c>
      <c r="AA482" s="29" t="s">
        <v>48</v>
      </c>
      <c r="AB482" s="11" t="str">
        <f t="shared" si="23"/>
        <v>'=HLOOKUP($J$3,$E$3:$H$243,238,FALSE)</v>
      </c>
    </row>
    <row r="483" spans="2:28" ht="12.75">
      <c r="B483" s="11" t="s">
        <v>47</v>
      </c>
      <c r="C483" s="11">
        <v>239</v>
      </c>
      <c r="D483" s="29" t="s">
        <v>48</v>
      </c>
      <c r="E483" s="11" t="str">
        <f t="shared" si="22"/>
        <v>'=HLOOKUP($J$3,$E$3:$H$243,239,FALSE)</v>
      </c>
      <c r="Y483" s="11" t="s">
        <v>47</v>
      </c>
      <c r="Z483" s="11">
        <v>239</v>
      </c>
      <c r="AA483" s="29" t="s">
        <v>48</v>
      </c>
      <c r="AB483" s="11" t="str">
        <f t="shared" si="23"/>
        <v>'=HLOOKUP($J$3,$E$3:$H$243,239,FALSE)</v>
      </c>
    </row>
    <row r="484" spans="2:28" ht="12.75">
      <c r="B484" s="11" t="s">
        <v>47</v>
      </c>
      <c r="C484" s="11">
        <v>240</v>
      </c>
      <c r="D484" s="29" t="s">
        <v>48</v>
      </c>
      <c r="E484" s="11" t="str">
        <f t="shared" si="22"/>
        <v>'=HLOOKUP($J$3,$E$3:$H$243,240,FALSE)</v>
      </c>
      <c r="Y484" s="11" t="s">
        <v>47</v>
      </c>
      <c r="Z484" s="11">
        <v>240</v>
      </c>
      <c r="AA484" s="29" t="s">
        <v>48</v>
      </c>
      <c r="AB484" s="11" t="str">
        <f t="shared" si="23"/>
        <v>'=HLOOKUP($J$3,$E$3:$H$243,240,FALSE)</v>
      </c>
    </row>
    <row r="485" spans="2:28" ht="12.75">
      <c r="B485" s="11" t="s">
        <v>47</v>
      </c>
      <c r="C485" s="11">
        <v>241</v>
      </c>
      <c r="D485" s="29" t="s">
        <v>48</v>
      </c>
      <c r="E485" s="11" t="str">
        <f t="shared" si="22"/>
        <v>'=HLOOKUP($J$3,$E$3:$H$243,241,FALSE)</v>
      </c>
      <c r="Y485" s="11" t="s">
        <v>47</v>
      </c>
      <c r="Z485" s="11">
        <v>241</v>
      </c>
      <c r="AA485" s="29" t="s">
        <v>48</v>
      </c>
      <c r="AB485" s="11" t="str">
        <f t="shared" si="23"/>
        <v>'=HLOOKUP($J$3,$E$3:$H$243,241,FALSE)</v>
      </c>
    </row>
    <row r="486" spans="2:28" ht="12.75">
      <c r="B486" s="11" t="s">
        <v>47</v>
      </c>
      <c r="C486" s="11">
        <v>242</v>
      </c>
      <c r="D486" s="29" t="s">
        <v>48</v>
      </c>
      <c r="E486" s="11" t="str">
        <f t="shared" si="22"/>
        <v>'=HLOOKUP($J$3,$E$3:$H$243,242,FALSE)</v>
      </c>
      <c r="Y486" s="11" t="s">
        <v>47</v>
      </c>
      <c r="Z486" s="11">
        <v>242</v>
      </c>
      <c r="AA486" s="29" t="s">
        <v>48</v>
      </c>
      <c r="AB486" s="11" t="str">
        <f t="shared" si="23"/>
        <v>'=HLOOKUP($J$3,$E$3:$H$243,242,FALSE)</v>
      </c>
    </row>
    <row r="487" spans="2:28" ht="12.75">
      <c r="B487" s="11" t="s">
        <v>47</v>
      </c>
      <c r="C487" s="11">
        <v>243</v>
      </c>
      <c r="D487" s="29" t="s">
        <v>48</v>
      </c>
      <c r="E487" s="11" t="str">
        <f t="shared" si="22"/>
        <v>'=HLOOKUP($J$3,$E$3:$H$243,243,FALSE)</v>
      </c>
      <c r="Y487" s="11" t="s">
        <v>47</v>
      </c>
      <c r="Z487" s="11">
        <v>243</v>
      </c>
      <c r="AA487" s="29" t="s">
        <v>48</v>
      </c>
      <c r="AB487" s="11" t="str">
        <f t="shared" si="23"/>
        <v>'=HLOOKUP($J$3,$E$3:$H$243,243,FALSE)</v>
      </c>
    </row>
    <row r="488" spans="2:28" ht="12.75">
      <c r="B488" s="11" t="s">
        <v>47</v>
      </c>
      <c r="C488" s="11">
        <v>244</v>
      </c>
      <c r="D488" s="29" t="s">
        <v>48</v>
      </c>
      <c r="E488" s="11" t="str">
        <f t="shared" si="22"/>
        <v>'=HLOOKUP($J$3,$E$3:$H$243,244,FALSE)</v>
      </c>
      <c r="Y488" s="11" t="s">
        <v>47</v>
      </c>
      <c r="Z488" s="11">
        <v>244</v>
      </c>
      <c r="AA488" s="29" t="s">
        <v>48</v>
      </c>
      <c r="AB488" s="11" t="str">
        <f t="shared" si="23"/>
        <v>'=HLOOKUP($J$3,$E$3:$H$243,244,FALSE)</v>
      </c>
    </row>
    <row r="489" spans="2:28" ht="12.75">
      <c r="B489" s="11" t="s">
        <v>47</v>
      </c>
      <c r="C489" s="11">
        <v>245</v>
      </c>
      <c r="D489" s="29" t="s">
        <v>48</v>
      </c>
      <c r="E489" s="11" t="str">
        <f t="shared" si="22"/>
        <v>'=HLOOKUP($J$3,$E$3:$H$243,245,FALSE)</v>
      </c>
      <c r="Y489" s="11" t="s">
        <v>47</v>
      </c>
      <c r="Z489" s="11">
        <v>245</v>
      </c>
      <c r="AA489" s="29" t="s">
        <v>48</v>
      </c>
      <c r="AB489" s="11" t="str">
        <f t="shared" si="23"/>
        <v>'=HLOOKUP($J$3,$E$3:$H$243,245,FALSE)</v>
      </c>
    </row>
    <row r="490" spans="2:28" ht="12.75">
      <c r="B490" s="11" t="s">
        <v>47</v>
      </c>
      <c r="C490" s="11">
        <v>246</v>
      </c>
      <c r="D490" s="29" t="s">
        <v>48</v>
      </c>
      <c r="E490" s="11" t="str">
        <f t="shared" si="22"/>
        <v>'=HLOOKUP($J$3,$E$3:$H$243,246,FALSE)</v>
      </c>
      <c r="Y490" s="11" t="s">
        <v>47</v>
      </c>
      <c r="Z490" s="11">
        <v>246</v>
      </c>
      <c r="AA490" s="29" t="s">
        <v>48</v>
      </c>
      <c r="AB490" s="11" t="str">
        <f t="shared" si="23"/>
        <v>'=HLOOKUP($J$3,$E$3:$H$243,246,FALSE)</v>
      </c>
    </row>
    <row r="491" spans="2:28" ht="12.75">
      <c r="B491" s="11" t="s">
        <v>47</v>
      </c>
      <c r="C491" s="11">
        <v>247</v>
      </c>
      <c r="D491" s="29" t="s">
        <v>48</v>
      </c>
      <c r="E491" s="11" t="str">
        <f t="shared" si="22"/>
        <v>'=HLOOKUP($J$3,$E$3:$H$243,247,FALSE)</v>
      </c>
      <c r="Y491" s="11" t="s">
        <v>47</v>
      </c>
      <c r="Z491" s="11">
        <v>247</v>
      </c>
      <c r="AA491" s="29" t="s">
        <v>48</v>
      </c>
      <c r="AB491" s="11" t="str">
        <f t="shared" si="23"/>
        <v>'=HLOOKUP($J$3,$E$3:$H$243,247,FALSE)</v>
      </c>
    </row>
    <row r="492" spans="2:28" ht="12.75">
      <c r="B492" s="11" t="s">
        <v>47</v>
      </c>
      <c r="C492" s="11">
        <v>248</v>
      </c>
      <c r="D492" s="29" t="s">
        <v>48</v>
      </c>
      <c r="E492" s="11" t="str">
        <f t="shared" si="22"/>
        <v>'=HLOOKUP($J$3,$E$3:$H$243,248,FALSE)</v>
      </c>
      <c r="Y492" s="11" t="s">
        <v>47</v>
      </c>
      <c r="Z492" s="11">
        <v>248</v>
      </c>
      <c r="AA492" s="29" t="s">
        <v>48</v>
      </c>
      <c r="AB492" s="11" t="str">
        <f t="shared" si="23"/>
        <v>'=HLOOKUP($J$3,$E$3:$H$243,248,FALSE)</v>
      </c>
    </row>
    <row r="493" spans="2:28" ht="12.75">
      <c r="B493" s="11" t="s">
        <v>47</v>
      </c>
      <c r="C493" s="11">
        <v>249</v>
      </c>
      <c r="D493" s="29" t="s">
        <v>48</v>
      </c>
      <c r="E493" s="11" t="str">
        <f t="shared" si="22"/>
        <v>'=HLOOKUP($J$3,$E$3:$H$243,249,FALSE)</v>
      </c>
      <c r="Y493" s="11" t="s">
        <v>47</v>
      </c>
      <c r="Z493" s="11">
        <v>249</v>
      </c>
      <c r="AA493" s="29" t="s">
        <v>48</v>
      </c>
      <c r="AB493" s="11" t="str">
        <f t="shared" si="23"/>
        <v>'=HLOOKUP($J$3,$E$3:$H$243,249,FALSE)</v>
      </c>
    </row>
    <row r="494" spans="2:28" ht="12.75">
      <c r="B494" s="11" t="s">
        <v>47</v>
      </c>
      <c r="C494" s="11">
        <v>250</v>
      </c>
      <c r="D494" s="29" t="s">
        <v>48</v>
      </c>
      <c r="E494" s="11" t="str">
        <f t="shared" si="22"/>
        <v>'=HLOOKUP($J$3,$E$3:$H$243,250,FALSE)</v>
      </c>
      <c r="Y494" s="11" t="s">
        <v>47</v>
      </c>
      <c r="Z494" s="11">
        <v>250</v>
      </c>
      <c r="AA494" s="29" t="s">
        <v>48</v>
      </c>
      <c r="AB494" s="11" t="str">
        <f t="shared" si="23"/>
        <v>'=HLOOKUP($J$3,$E$3:$H$243,250,FALSE)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Z71"/>
  <sheetViews>
    <sheetView zoomScalePageLayoutView="0" workbookViewId="0" topLeftCell="AQ1">
      <selection activeCell="AR1" sqref="AR1"/>
    </sheetView>
  </sheetViews>
  <sheetFormatPr defaultColWidth="9.140625" defaultRowHeight="12.75"/>
  <cols>
    <col min="1" max="1" width="0" style="96" hidden="1" customWidth="1"/>
    <col min="2" max="2" width="37.57421875" style="213" hidden="1" customWidth="1"/>
    <col min="3" max="8" width="0" style="214" hidden="1" customWidth="1"/>
    <col min="9" max="9" width="3.8515625" style="214" hidden="1" customWidth="1"/>
    <col min="10" max="13" width="0" style="214" hidden="1" customWidth="1"/>
    <col min="14" max="14" width="5.7109375" style="96" hidden="1" customWidth="1"/>
    <col min="15" max="15" width="0" style="96" hidden="1" customWidth="1"/>
    <col min="16" max="16" width="37.57421875" style="214" hidden="1" customWidth="1"/>
    <col min="17" max="22" width="0" style="214" hidden="1" customWidth="1"/>
    <col min="23" max="23" width="3.8515625" style="214" hidden="1" customWidth="1"/>
    <col min="24" max="27" width="0" style="214" hidden="1" customWidth="1"/>
    <col min="28" max="28" width="5.7109375" style="96" hidden="1" customWidth="1"/>
    <col min="29" max="29" width="50.8515625" style="96" hidden="1" customWidth="1"/>
    <col min="30" max="37" width="0" style="96" hidden="1" customWidth="1"/>
    <col min="38" max="38" width="3.28125" style="96" hidden="1" customWidth="1"/>
    <col min="39" max="42" width="9.28125" style="96" hidden="1" customWidth="1"/>
    <col min="43" max="43" width="3.421875" style="273" customWidth="1"/>
    <col min="44" max="44" width="49.421875" style="273" customWidth="1"/>
    <col min="45" max="50" width="9.8515625" style="273" customWidth="1"/>
    <col min="51" max="16384" width="9.140625" style="273" customWidth="1"/>
  </cols>
  <sheetData>
    <row r="1" spans="1:44" ht="21" customHeight="1" thickBot="1">
      <c r="A1" s="273"/>
      <c r="B1" s="27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73"/>
      <c r="O1" s="27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R1" s="111" t="s">
        <v>55</v>
      </c>
    </row>
    <row r="2" spans="2:45" ht="18.75" customHeight="1" thickBot="1">
      <c r="B2" s="223" t="s">
        <v>131</v>
      </c>
      <c r="P2" s="225" t="s">
        <v>130</v>
      </c>
      <c r="AR2" s="298" t="s">
        <v>11</v>
      </c>
      <c r="AS2" s="295" t="s">
        <v>138</v>
      </c>
    </row>
    <row r="3" spans="2:45" ht="18.75" customHeight="1" thickBot="1">
      <c r="B3" s="211" t="s">
        <v>9</v>
      </c>
      <c r="P3" s="212" t="s">
        <v>9</v>
      </c>
      <c r="AD3" s="269">
        <f>365/7</f>
        <v>52.142857142857146</v>
      </c>
      <c r="AE3" s="269"/>
      <c r="AF3" s="269"/>
      <c r="AG3" s="269"/>
      <c r="AR3" s="299" t="s">
        <v>7</v>
      </c>
      <c r="AS3" s="296" t="s">
        <v>138</v>
      </c>
    </row>
    <row r="4" spans="5:24" ht="12">
      <c r="E4" s="215" t="s">
        <v>0</v>
      </c>
      <c r="J4" s="215" t="s">
        <v>1</v>
      </c>
      <c r="S4" s="215" t="s">
        <v>0</v>
      </c>
      <c r="X4" s="215" t="s">
        <v>1</v>
      </c>
    </row>
    <row r="5" spans="3:50" ht="30" customHeight="1">
      <c r="C5" s="214" t="s">
        <v>8</v>
      </c>
      <c r="D5" s="214" t="s">
        <v>114</v>
      </c>
      <c r="E5" s="216" t="s">
        <v>122</v>
      </c>
      <c r="F5" s="216" t="s">
        <v>123</v>
      </c>
      <c r="G5" s="216" t="s">
        <v>124</v>
      </c>
      <c r="H5" s="216" t="s">
        <v>125</v>
      </c>
      <c r="I5" s="216"/>
      <c r="J5" s="216" t="s">
        <v>4</v>
      </c>
      <c r="K5" s="216" t="s">
        <v>5</v>
      </c>
      <c r="L5" s="216" t="s">
        <v>6</v>
      </c>
      <c r="M5" s="216" t="s">
        <v>7</v>
      </c>
      <c r="Q5" s="214" t="s">
        <v>8</v>
      </c>
      <c r="R5" s="214" t="s">
        <v>114</v>
      </c>
      <c r="S5" s="216" t="s">
        <v>122</v>
      </c>
      <c r="T5" s="216" t="s">
        <v>123</v>
      </c>
      <c r="U5" s="216" t="s">
        <v>124</v>
      </c>
      <c r="V5" s="216" t="s">
        <v>125</v>
      </c>
      <c r="W5" s="216"/>
      <c r="X5" s="216" t="s">
        <v>4</v>
      </c>
      <c r="Y5" s="216" t="s">
        <v>5</v>
      </c>
      <c r="Z5" s="216" t="s">
        <v>6</v>
      </c>
      <c r="AA5" s="216" t="s">
        <v>7</v>
      </c>
      <c r="AR5" s="316" t="s">
        <v>140</v>
      </c>
      <c r="AS5" s="313" t="str">
        <f>AR2&amp;" working "&amp;AR3</f>
        <v>Lone parent - two children - 2 Beds working Full-time - 35 hours</v>
      </c>
      <c r="AT5" s="314"/>
      <c r="AU5" s="314"/>
      <c r="AV5" s="314"/>
      <c r="AW5" s="314"/>
      <c r="AX5" s="315"/>
    </row>
    <row r="6" spans="1:50" s="275" customFormat="1" ht="19.5" customHeight="1">
      <c r="A6" s="221"/>
      <c r="B6" s="217" t="s">
        <v>120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2" t="s">
        <v>120</v>
      </c>
      <c r="Q6" s="218"/>
      <c r="R6" s="219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221"/>
      <c r="AD6" s="301" t="s">
        <v>126</v>
      </c>
      <c r="AE6" s="302"/>
      <c r="AF6" s="302"/>
      <c r="AG6" s="302"/>
      <c r="AH6" s="301" t="s">
        <v>127</v>
      </c>
      <c r="AI6" s="302"/>
      <c r="AJ6" s="302"/>
      <c r="AK6" s="302"/>
      <c r="AL6" s="221"/>
      <c r="AM6" s="221"/>
      <c r="AN6" s="221"/>
      <c r="AO6" s="221"/>
      <c r="AP6" s="221"/>
      <c r="AR6" s="317"/>
      <c r="AS6" s="303" t="s">
        <v>44</v>
      </c>
      <c r="AT6" s="305"/>
      <c r="AU6" s="305"/>
      <c r="AV6" s="310" t="s">
        <v>45</v>
      </c>
      <c r="AW6" s="311"/>
      <c r="AX6" s="312"/>
    </row>
    <row r="7" spans="2:50" ht="30.75" customHeight="1">
      <c r="B7" s="223" t="s">
        <v>118</v>
      </c>
      <c r="F7" s="224"/>
      <c r="P7" s="225" t="s">
        <v>118</v>
      </c>
      <c r="T7" s="224"/>
      <c r="AD7" s="226" t="s">
        <v>4</v>
      </c>
      <c r="AE7" s="226" t="s">
        <v>5</v>
      </c>
      <c r="AF7" s="226" t="s">
        <v>6</v>
      </c>
      <c r="AG7" s="226" t="s">
        <v>7</v>
      </c>
      <c r="AH7" s="226" t="s">
        <v>4</v>
      </c>
      <c r="AI7" s="226" t="s">
        <v>5</v>
      </c>
      <c r="AJ7" s="226" t="s">
        <v>6</v>
      </c>
      <c r="AK7" s="226" t="s">
        <v>7</v>
      </c>
      <c r="AM7" s="227" t="s">
        <v>126</v>
      </c>
      <c r="AN7" s="228" t="s">
        <v>127</v>
      </c>
      <c r="AO7" s="228" t="s">
        <v>132</v>
      </c>
      <c r="AP7" s="229" t="s">
        <v>133</v>
      </c>
      <c r="AQ7" s="278"/>
      <c r="AR7" s="318"/>
      <c r="AS7" s="291" t="s">
        <v>126</v>
      </c>
      <c r="AT7" s="292" t="s">
        <v>127</v>
      </c>
      <c r="AU7" s="292" t="s">
        <v>41</v>
      </c>
      <c r="AV7" s="293" t="s">
        <v>126</v>
      </c>
      <c r="AW7" s="292" t="s">
        <v>127</v>
      </c>
      <c r="AX7" s="294" t="s">
        <v>41</v>
      </c>
    </row>
    <row r="8" spans="2:50" ht="12">
      <c r="B8" s="213" t="s">
        <v>11</v>
      </c>
      <c r="C8" s="230">
        <v>229.30359875081356</v>
      </c>
      <c r="D8" s="231">
        <v>463.28846153846155</v>
      </c>
      <c r="E8" s="232">
        <v>483.28846153846155</v>
      </c>
      <c r="F8" s="233">
        <v>658.209679662803</v>
      </c>
      <c r="G8" s="233">
        <v>739.1824088935722</v>
      </c>
      <c r="H8" s="233">
        <v>831.5475700474185</v>
      </c>
      <c r="I8" s="232"/>
      <c r="J8" s="232">
        <v>483.2884615384615</v>
      </c>
      <c r="K8" s="233">
        <v>674.1976488935723</v>
      </c>
      <c r="L8" s="233">
        <v>741.0915488935722</v>
      </c>
      <c r="M8" s="233">
        <v>834.2691700474184</v>
      </c>
      <c r="N8" s="232"/>
      <c r="P8" s="214" t="s">
        <v>11</v>
      </c>
      <c r="Q8" s="230">
        <v>146.7261021760684</v>
      </c>
      <c r="R8" s="234">
        <v>380.7184615384615</v>
      </c>
      <c r="S8" s="232">
        <v>400.7184615384615</v>
      </c>
      <c r="T8" s="233">
        <v>556.823679662803</v>
      </c>
      <c r="U8" s="233">
        <v>618.1068088935722</v>
      </c>
      <c r="V8" s="233">
        <v>692.8235700474183</v>
      </c>
      <c r="W8" s="232"/>
      <c r="X8" s="232">
        <v>400.71846153846155</v>
      </c>
      <c r="Y8" s="233">
        <v>565.9572488935722</v>
      </c>
      <c r="Z8" s="233">
        <v>620.0159488935723</v>
      </c>
      <c r="AA8" s="233">
        <v>695.5451700474183</v>
      </c>
      <c r="AB8" s="232"/>
      <c r="AD8" s="235"/>
      <c r="AE8" s="236"/>
      <c r="AF8" s="236"/>
      <c r="AG8" s="237"/>
      <c r="AH8" s="235"/>
      <c r="AI8" s="236"/>
      <c r="AJ8" s="236"/>
      <c r="AK8" s="237"/>
      <c r="AM8" s="270"/>
      <c r="AO8" s="236"/>
      <c r="AP8" s="237"/>
      <c r="AQ8" s="278"/>
      <c r="AR8" s="288"/>
      <c r="AS8" s="279"/>
      <c r="AT8" s="280"/>
      <c r="AU8" s="281"/>
      <c r="AV8" s="279"/>
      <c r="AW8" s="280"/>
      <c r="AX8" s="281"/>
    </row>
    <row r="9" spans="2:50" ht="12">
      <c r="B9" s="213" t="s">
        <v>16</v>
      </c>
      <c r="C9" s="230">
        <v>229.30359875081356</v>
      </c>
      <c r="D9" s="231">
        <v>501.73846153846154</v>
      </c>
      <c r="E9" s="232">
        <v>511.73846153846154</v>
      </c>
      <c r="F9" s="232">
        <v>562.5240642781877</v>
      </c>
      <c r="G9" s="232">
        <v>568.4205088935722</v>
      </c>
      <c r="H9" s="232">
        <v>573.3840700474184</v>
      </c>
      <c r="I9" s="232"/>
      <c r="J9" s="232">
        <v>511.73846153846154</v>
      </c>
      <c r="K9" s="232">
        <v>567.0005488935723</v>
      </c>
      <c r="L9" s="232">
        <v>570.3296488935722</v>
      </c>
      <c r="M9" s="232">
        <v>576.1056700474184</v>
      </c>
      <c r="N9" s="232"/>
      <c r="P9" s="214" t="s">
        <v>16</v>
      </c>
      <c r="Q9" s="230">
        <v>146.7261021760684</v>
      </c>
      <c r="R9" s="231">
        <v>419.1684615384615</v>
      </c>
      <c r="S9" s="232">
        <v>429.1684615384615</v>
      </c>
      <c r="T9" s="232">
        <v>479.95406427818756</v>
      </c>
      <c r="U9" s="232">
        <v>485.85050889357217</v>
      </c>
      <c r="V9" s="232">
        <v>490.8140700474183</v>
      </c>
      <c r="W9" s="232"/>
      <c r="X9" s="232">
        <v>429.16846153846154</v>
      </c>
      <c r="Y9" s="232">
        <v>484.43054889357217</v>
      </c>
      <c r="Z9" s="232">
        <v>487.7596488935721</v>
      </c>
      <c r="AA9" s="232">
        <v>493.5356700474183</v>
      </c>
      <c r="AB9" s="232"/>
      <c r="AC9" s="238" t="s">
        <v>128</v>
      </c>
      <c r="AD9" s="239">
        <f>VLOOKUP($AR$2,$B$8:$M$14,3,FALSE)</f>
        <v>463.28846153846155</v>
      </c>
      <c r="AE9" s="240">
        <f>VLOOKUP($AR$2,$B$8:$M$14,3,FALSE)</f>
        <v>463.28846153846155</v>
      </c>
      <c r="AF9" s="240">
        <f>VLOOKUP($AR$2,$B$8:$M$14,3,FALSE)</f>
        <v>463.28846153846155</v>
      </c>
      <c r="AG9" s="241">
        <f>VLOOKUP($AR$2,$B$8:$M$14,3,FALSE)</f>
        <v>463.28846153846155</v>
      </c>
      <c r="AH9" s="239">
        <f>VLOOKUP($AR$2,$B$17:$M$23,3,FALSE)</f>
        <v>455.4222841510558</v>
      </c>
      <c r="AI9" s="240">
        <f>VLOOKUP($AR$2,$B$17:$M$23,3,FALSE)</f>
        <v>455.4222841510558</v>
      </c>
      <c r="AJ9" s="240">
        <f>VLOOKUP($AR$2,$B$17:$M$23,3,FALSE)</f>
        <v>455.4222841510558</v>
      </c>
      <c r="AK9" s="241">
        <f>VLOOKUP($AR$2,$B$17:$M$23,3,FALSE)</f>
        <v>455.4222841510558</v>
      </c>
      <c r="AL9" s="271"/>
      <c r="AM9" s="239">
        <f>HLOOKUP($AR$3,$AD$7:$AG$13,3,FALSE)</f>
        <v>463.28846153846155</v>
      </c>
      <c r="AN9" s="240">
        <f>HLOOKUP($AR$3,$AH$7:$AK$13,3,FALSE)</f>
        <v>455.4222841510558</v>
      </c>
      <c r="AO9" s="242">
        <f>AM9*$AD$3</f>
        <v>24157.184065934067</v>
      </c>
      <c r="AP9" s="243">
        <f>AN9*$AD$3</f>
        <v>23747.019102162198</v>
      </c>
      <c r="AQ9" s="277"/>
      <c r="AR9" s="289" t="s">
        <v>128</v>
      </c>
      <c r="AS9" s="282">
        <f aca="true" t="shared" si="0" ref="AS9:AT13">AO9</f>
        <v>24157.184065934067</v>
      </c>
      <c r="AT9" s="283">
        <f t="shared" si="0"/>
        <v>23747.019102162198</v>
      </c>
      <c r="AU9" s="284">
        <f>AT9-AS9</f>
        <v>-410.1649637718692</v>
      </c>
      <c r="AV9" s="282">
        <f aca="true" t="shared" si="1" ref="AV9:AW13">AO16</f>
        <v>19851.74835164835</v>
      </c>
      <c r="AW9" s="283">
        <f t="shared" si="1"/>
        <v>19427.252124140217</v>
      </c>
      <c r="AX9" s="284">
        <f>AW9-AV9</f>
        <v>-424.4962275081343</v>
      </c>
    </row>
    <row r="10" spans="2:50" ht="12">
      <c r="B10" s="213" t="s">
        <v>17</v>
      </c>
      <c r="C10" s="230">
        <v>229.30359875081356</v>
      </c>
      <c r="D10" s="231">
        <v>501.73846153846154</v>
      </c>
      <c r="E10" s="232">
        <v>511.7384615384616</v>
      </c>
      <c r="F10" s="233">
        <v>702.0871550474184</v>
      </c>
      <c r="G10" s="233">
        <v>773.9293150474185</v>
      </c>
      <c r="H10" s="233">
        <v>866.7003450474185</v>
      </c>
      <c r="I10" s="232"/>
      <c r="J10" s="232">
        <v>511.73846153846154</v>
      </c>
      <c r="K10" s="233">
        <v>707.5245950474184</v>
      </c>
      <c r="L10" s="233">
        <v>777.7475950474185</v>
      </c>
      <c r="M10" s="233">
        <v>873.3188653846155</v>
      </c>
      <c r="N10" s="232"/>
      <c r="P10" s="214" t="s">
        <v>17</v>
      </c>
      <c r="Q10" s="230">
        <v>146.7261021760684</v>
      </c>
      <c r="R10" s="231">
        <v>419.1684615384615</v>
      </c>
      <c r="S10" s="232">
        <v>429.16846153846154</v>
      </c>
      <c r="T10" s="233">
        <v>593.8467550474185</v>
      </c>
      <c r="U10" s="233">
        <v>652.8537150474184</v>
      </c>
      <c r="V10" s="233">
        <v>727.9763450474184</v>
      </c>
      <c r="W10" s="232"/>
      <c r="X10" s="232">
        <v>429.1684615384615</v>
      </c>
      <c r="Y10" s="233">
        <v>599.2841950474185</v>
      </c>
      <c r="Z10" s="233">
        <v>656.6719950474184</v>
      </c>
      <c r="AA10" s="233">
        <v>738.1228653846154</v>
      </c>
      <c r="AB10" s="232"/>
      <c r="AC10" s="244" t="str">
        <f>"In work net earnings: working "&amp;$AR$3</f>
        <v>In work net earnings: working Full-time - 35 hours</v>
      </c>
      <c r="AD10" s="245">
        <f>VLOOKUP($AR$2,$B$8:$M$14,4,FALSE)</f>
        <v>483.28846153846155</v>
      </c>
      <c r="AE10" s="246">
        <f>VLOOKUP($AR$2,$B$8:$M$14,5,FALSE)</f>
        <v>658.209679662803</v>
      </c>
      <c r="AF10" s="246">
        <f>VLOOKUP($AR$2,$B$8:$M$14,6,FALSE)</f>
        <v>739.1824088935722</v>
      </c>
      <c r="AG10" s="247">
        <f>VLOOKUP($AR$2,$B$8:$M$14,7,FALSE)</f>
        <v>831.5475700474185</v>
      </c>
      <c r="AH10" s="245">
        <f>VLOOKUP($AR$2,$B$17:$M$23,4,FALSE)</f>
        <v>491.0022841510558</v>
      </c>
      <c r="AI10" s="246">
        <f>VLOOKUP($AR$2,$B$17:$M$23,5,FALSE)</f>
        <v>590.1153995356711</v>
      </c>
      <c r="AJ10" s="246">
        <f>VLOOKUP($AR$2,$B$17:$M$23,6,FALSE)</f>
        <v>653.1719595356712</v>
      </c>
      <c r="AK10" s="247">
        <f>VLOOKUP($AR$2,$B$17:$M$23,7,FALSE)</f>
        <v>732.4261629206711</v>
      </c>
      <c r="AM10" s="245">
        <f>HLOOKUP($AR$3,$AD$7:$AG$13,4,FALSE)</f>
        <v>831.5475700474185</v>
      </c>
      <c r="AN10" s="246">
        <f>HLOOKUP($AR$3,$AH$7:$AK$13,4,FALSE)</f>
        <v>732.4261629206711</v>
      </c>
      <c r="AO10" s="248">
        <f aca="true" t="shared" si="2" ref="AO10:AP13">AM10*$AD$3</f>
        <v>43359.26615247254</v>
      </c>
      <c r="AP10" s="249">
        <f t="shared" si="2"/>
        <v>38190.792780863565</v>
      </c>
      <c r="AQ10" s="277"/>
      <c r="AR10" s="289" t="str">
        <f>"In work net earnings: working "&amp;$AR$3</f>
        <v>In work net earnings: working Full-time - 35 hours</v>
      </c>
      <c r="AS10" s="282">
        <f t="shared" si="0"/>
        <v>43359.26615247254</v>
      </c>
      <c r="AT10" s="283">
        <f t="shared" si="0"/>
        <v>38190.792780863565</v>
      </c>
      <c r="AU10" s="284">
        <f>AT10-AS10</f>
        <v>-5168.473371608976</v>
      </c>
      <c r="AV10" s="282">
        <f t="shared" si="1"/>
        <v>36125.800438186816</v>
      </c>
      <c r="AW10" s="283">
        <f t="shared" si="1"/>
        <v>31761.82026150286</v>
      </c>
      <c r="AX10" s="284">
        <f>AW10-AV10</f>
        <v>-4363.9801766839555</v>
      </c>
    </row>
    <row r="11" spans="2:50" ht="12">
      <c r="B11" s="213" t="s">
        <v>18</v>
      </c>
      <c r="C11" s="230">
        <v>265.8999350974548</v>
      </c>
      <c r="D11" s="231">
        <v>538.3384615384615</v>
      </c>
      <c r="E11" s="232">
        <v>548.3384615384616</v>
      </c>
      <c r="F11" s="232">
        <v>599.1240642781876</v>
      </c>
      <c r="G11" s="232">
        <v>605.0205088935722</v>
      </c>
      <c r="H11" s="232">
        <v>609.9840700474184</v>
      </c>
      <c r="I11" s="232"/>
      <c r="J11" s="232">
        <v>548.3384615384616</v>
      </c>
      <c r="K11" s="232">
        <v>603.6005488935722</v>
      </c>
      <c r="L11" s="232">
        <v>606.9296488935721</v>
      </c>
      <c r="M11" s="232">
        <v>612.7056700474184</v>
      </c>
      <c r="N11" s="57"/>
      <c r="P11" s="214" t="s">
        <v>18</v>
      </c>
      <c r="Q11" s="230">
        <v>164.5548639965686</v>
      </c>
      <c r="R11" s="250">
        <v>436.98846153846154</v>
      </c>
      <c r="S11" s="232">
        <v>446.9884615384616</v>
      </c>
      <c r="T11" s="232">
        <v>497.7740642781876</v>
      </c>
      <c r="U11" s="232">
        <v>503.67050889357216</v>
      </c>
      <c r="V11" s="232">
        <v>508.63407004741833</v>
      </c>
      <c r="W11" s="232"/>
      <c r="X11" s="232">
        <v>446.98846153846154</v>
      </c>
      <c r="Y11" s="232">
        <v>502.2505488935722</v>
      </c>
      <c r="Z11" s="232">
        <v>505.57964889357214</v>
      </c>
      <c r="AA11" s="232">
        <v>511.3556700474183</v>
      </c>
      <c r="AB11" s="57"/>
      <c r="AC11" s="244" t="s">
        <v>115</v>
      </c>
      <c r="AD11" s="245">
        <f>(VLOOKUP($AR$2,$B$27:$M$33,4,FALSE))+(VLOOKUP($AR$2,$B$27:$M$33,2,FALSE))+($A$18/52)</f>
        <v>329.2528295200444</v>
      </c>
      <c r="AE11" s="246">
        <f>(VLOOKUP($AR$2,$B$27:$M$33,5,FALSE))+(VLOOKUP($AR$2,$B$27:$M$33,2,FALSE))+($A$18/52)</f>
        <v>412.4528295200443</v>
      </c>
      <c r="AF11" s="246">
        <f>(VLOOKUP($AR$2,$B$27:$M$33,6,FALSE))+(VLOOKUP($AR$2,$B$27:$M$33,2,FALSE))+($A$18/52)</f>
        <v>479.01282952004436</v>
      </c>
      <c r="AG11" s="247">
        <f>(VLOOKUP($AR$2,$B$27:$M$33,7,FALSE))+(VLOOKUP($AR$2,$B$27:$M$33,2,FALSE))+($A$18/52)</f>
        <v>570.5328295200443</v>
      </c>
      <c r="AH11" s="245">
        <f>(VLOOKUP($AR$2,$B$27:$M$33,4,FALSE))+(VLOOKUP($AR$2,$B$27:$M$33,2,FALSE))+($A$18/52)</f>
        <v>329.2528295200444</v>
      </c>
      <c r="AI11" s="246">
        <f>(VLOOKUP($AR$2,$B$27:$M$33,5,FALSE))+(VLOOKUP($AR$2,$B$27:$M$33,2,FALSE))+($A$18/52)</f>
        <v>412.4528295200443</v>
      </c>
      <c r="AJ11" s="246">
        <f>(VLOOKUP($AR$2,$B$27:$M$33,6,FALSE))+(VLOOKUP($AR$2,$B$27:$M$33,2,FALSE))+($A$18/52)</f>
        <v>479.01282952004436</v>
      </c>
      <c r="AK11" s="247">
        <f>(VLOOKUP($AR$2,$B$27:$M$33,7,FALSE))+(VLOOKUP($AR$2,$B$27:$M$33,2,FALSE))+($A$18/52)</f>
        <v>570.5328295200443</v>
      </c>
      <c r="AM11" s="245">
        <f>HLOOKUP($AR$3,$AD$7:$AG$13,5,FALSE)</f>
        <v>570.5328295200443</v>
      </c>
      <c r="AN11" s="246">
        <f>HLOOKUP($AR$3,$AH$7:$AK$13,5,FALSE)</f>
        <v>570.5328295200443</v>
      </c>
      <c r="AO11" s="248">
        <f t="shared" si="2"/>
        <v>29749.21182497374</v>
      </c>
      <c r="AP11" s="249">
        <f t="shared" si="2"/>
        <v>29749.21182497374</v>
      </c>
      <c r="AQ11" s="277"/>
      <c r="AR11" s="289" t="s">
        <v>115</v>
      </c>
      <c r="AS11" s="282">
        <f t="shared" si="0"/>
        <v>29749.21182497374</v>
      </c>
      <c r="AT11" s="283">
        <f t="shared" si="0"/>
        <v>29749.21182497374</v>
      </c>
      <c r="AU11" s="284"/>
      <c r="AV11" s="282">
        <f t="shared" si="1"/>
        <v>21855.956646433457</v>
      </c>
      <c r="AW11" s="283">
        <f t="shared" si="1"/>
        <v>21855.956646433457</v>
      </c>
      <c r="AX11" s="284"/>
    </row>
    <row r="12" spans="2:52" ht="12">
      <c r="B12" s="213" t="s">
        <v>19</v>
      </c>
      <c r="C12" s="230">
        <v>265.8999350974548</v>
      </c>
      <c r="D12" s="231">
        <v>538.3384615384615</v>
      </c>
      <c r="E12" s="232">
        <v>548.3384615384615</v>
      </c>
      <c r="F12" s="233">
        <v>738.6871550474184</v>
      </c>
      <c r="G12" s="233">
        <v>810.5293150474184</v>
      </c>
      <c r="H12" s="233">
        <v>903.3003450474185</v>
      </c>
      <c r="I12" s="232"/>
      <c r="J12" s="232">
        <v>548.3384615384616</v>
      </c>
      <c r="K12" s="233">
        <v>744.1245950474184</v>
      </c>
      <c r="L12" s="233">
        <v>814.3475950474184</v>
      </c>
      <c r="M12" s="233">
        <v>909.9188653846154</v>
      </c>
      <c r="N12" s="57"/>
      <c r="P12" s="214" t="s">
        <v>19</v>
      </c>
      <c r="Q12" s="230">
        <v>164.5548639965686</v>
      </c>
      <c r="R12" s="250">
        <v>436.98846153846154</v>
      </c>
      <c r="S12" s="232">
        <v>446.9884615384616</v>
      </c>
      <c r="T12" s="233">
        <v>611.6667550474185</v>
      </c>
      <c r="U12" s="233">
        <v>670.6737150474185</v>
      </c>
      <c r="V12" s="233">
        <v>745.7963450474184</v>
      </c>
      <c r="W12" s="232"/>
      <c r="X12" s="232">
        <v>446.98846153846154</v>
      </c>
      <c r="Y12" s="233">
        <v>617.1041950474184</v>
      </c>
      <c r="Z12" s="233">
        <v>674.4919950474184</v>
      </c>
      <c r="AA12" s="233">
        <v>755.9428653846154</v>
      </c>
      <c r="AB12" s="57"/>
      <c r="AC12" s="244" t="str">
        <f>"In work spending power: working "&amp;$AR$3</f>
        <v>In work spending power: working Full-time - 35 hours</v>
      </c>
      <c r="AD12" s="251">
        <f aca="true" t="shared" si="3" ref="AD12:AK12">AD10-AD11</f>
        <v>154.03563201841718</v>
      </c>
      <c r="AE12" s="252">
        <f t="shared" si="3"/>
        <v>245.75685014275865</v>
      </c>
      <c r="AF12" s="252">
        <f t="shared" si="3"/>
        <v>260.1695793735278</v>
      </c>
      <c r="AG12" s="253">
        <f t="shared" si="3"/>
        <v>261.0147405273742</v>
      </c>
      <c r="AH12" s="251">
        <f t="shared" si="3"/>
        <v>161.74945463101142</v>
      </c>
      <c r="AI12" s="252">
        <f t="shared" si="3"/>
        <v>177.66257001562684</v>
      </c>
      <c r="AJ12" s="252">
        <f t="shared" si="3"/>
        <v>174.15913001562689</v>
      </c>
      <c r="AK12" s="253">
        <f t="shared" si="3"/>
        <v>161.89333340062683</v>
      </c>
      <c r="AM12" s="245">
        <f>HLOOKUP($AR$3,$AD$7:$AG$13,6,FALSE)</f>
        <v>261.0147405273742</v>
      </c>
      <c r="AN12" s="246">
        <f>HLOOKUP($AR$3,$AH$7:$AK$13,6,FALSE)</f>
        <v>161.89333340062683</v>
      </c>
      <c r="AO12" s="248">
        <f t="shared" si="2"/>
        <v>13610.0543274988</v>
      </c>
      <c r="AP12" s="249">
        <f t="shared" si="2"/>
        <v>8441.580955889827</v>
      </c>
      <c r="AQ12" s="277"/>
      <c r="AR12" s="289" t="str">
        <f>"In work spending power: working "&amp;$AR$3</f>
        <v>In work spending power: working Full-time - 35 hours</v>
      </c>
      <c r="AS12" s="282">
        <f t="shared" si="0"/>
        <v>13610.0543274988</v>
      </c>
      <c r="AT12" s="283">
        <f t="shared" si="0"/>
        <v>8441.580955889827</v>
      </c>
      <c r="AU12" s="284">
        <f>AT12-AS12</f>
        <v>-5168.473371608972</v>
      </c>
      <c r="AV12" s="282">
        <f t="shared" si="1"/>
        <v>14269.843791753357</v>
      </c>
      <c r="AW12" s="283">
        <f t="shared" si="1"/>
        <v>9905.863615069402</v>
      </c>
      <c r="AX12" s="284">
        <f>AW12-AV12</f>
        <v>-4363.9801766839555</v>
      </c>
      <c r="AY12" s="276"/>
      <c r="AZ12" s="276"/>
    </row>
    <row r="13" spans="2:50" ht="12">
      <c r="B13" s="213" t="s">
        <v>20</v>
      </c>
      <c r="C13" s="230">
        <v>265.8999350974548</v>
      </c>
      <c r="D13" s="1">
        <v>600.873076923077</v>
      </c>
      <c r="E13" s="232">
        <v>610.873076923077</v>
      </c>
      <c r="F13" s="232">
        <v>664.1602950474183</v>
      </c>
      <c r="G13" s="232">
        <v>678.7712012012645</v>
      </c>
      <c r="H13" s="232">
        <v>683.7347623551107</v>
      </c>
      <c r="I13" s="232"/>
      <c r="J13" s="232">
        <v>610.873076923077</v>
      </c>
      <c r="K13" s="232">
        <v>677.3512412012644</v>
      </c>
      <c r="L13" s="232">
        <v>680.6803412012645</v>
      </c>
      <c r="M13" s="232">
        <v>686.4563623551106</v>
      </c>
      <c r="N13" s="232"/>
      <c r="P13" s="214" t="s">
        <v>20</v>
      </c>
      <c r="Q13" s="230">
        <v>164.5548639965686</v>
      </c>
      <c r="R13" s="231">
        <v>499.523076923077</v>
      </c>
      <c r="S13" s="232">
        <v>509.523076923077</v>
      </c>
      <c r="T13" s="232">
        <v>562.8102950474184</v>
      </c>
      <c r="U13" s="232">
        <v>577.4212012012645</v>
      </c>
      <c r="V13" s="232">
        <v>582.3847623551106</v>
      </c>
      <c r="W13" s="232"/>
      <c r="X13" s="232">
        <v>509.523076923077</v>
      </c>
      <c r="Y13" s="232">
        <v>576.0012412012645</v>
      </c>
      <c r="Z13" s="232">
        <v>579.3303412012644</v>
      </c>
      <c r="AA13" s="232">
        <v>585.1063623551107</v>
      </c>
      <c r="AB13" s="232"/>
      <c r="AC13" s="244" t="s">
        <v>137</v>
      </c>
      <c r="AD13" s="245">
        <f>(VLOOKUP($AR$2,$B$37:$M$43,4,FALSE))-(VLOOKUP($AR$2,$B$37:$M$43,3,FALSE))</f>
        <v>-56.680000000000035</v>
      </c>
      <c r="AE13" s="246">
        <f>(VLOOKUP($AR$2,$B$37:$M$43,5,FALSE))-(VLOOKUP($AR$2,$B$37:$M$43,3,FALSE))</f>
        <v>35.04121812434144</v>
      </c>
      <c r="AF13" s="246">
        <f>(VLOOKUP($AR$2,$B$37:$M$43,6,FALSE))-(VLOOKUP($AR$2,$B$37:$M$43,3,FALSE))</f>
        <v>49.453947355110614</v>
      </c>
      <c r="AG13" s="247">
        <f>(VLOOKUP($AR$2,$B$37:$M$43,7,FALSE))-(VLOOKUP($AR$2,$B$37:$M$43,3,FALSE))</f>
        <v>50.299108508957005</v>
      </c>
      <c r="AH13" s="245">
        <f>(VLOOKUP($AR$2,$B$46:$M$52,4,FALSE))-(VLOOKUP($AR$2,$B$46:$M$52,3,FALSE))</f>
        <v>-41.10000000000005</v>
      </c>
      <c r="AI13" s="246">
        <f>(VLOOKUP($AR$2,$B$46:$M$52,5,FALSE))-(VLOOKUP($AR$2,$B$46:$M$52,3,FALSE))</f>
        <v>-25.186884615384628</v>
      </c>
      <c r="AJ13" s="246">
        <f>(VLOOKUP($AR$2,$B$46:$M$52,6,FALSE))-(VLOOKUP($AR$2,$B$46:$M$52,3,FALSE))</f>
        <v>-28.690324615384583</v>
      </c>
      <c r="AK13" s="247">
        <f>(VLOOKUP($AR$2,$B$46:$M$52,7,FALSE))-(VLOOKUP($AR$2,$B$46:$M$52,3,FALSE))</f>
        <v>-40.95612123038464</v>
      </c>
      <c r="AM13" s="245">
        <f>HLOOKUP($AR$3,$AD$7:$AG$13,7,FALSE)</f>
        <v>50.299108508957005</v>
      </c>
      <c r="AN13" s="246">
        <f>HLOOKUP($AR$3,$AH$7:$AK$13,7,FALSE)</f>
        <v>-40.95612123038464</v>
      </c>
      <c r="AO13" s="248">
        <f t="shared" si="2"/>
        <v>2622.7392293956154</v>
      </c>
      <c r="AP13" s="249">
        <f t="shared" si="2"/>
        <v>-2135.569178441485</v>
      </c>
      <c r="AQ13" s="277"/>
      <c r="AR13" s="290" t="s">
        <v>137</v>
      </c>
      <c r="AS13" s="285">
        <f t="shared" si="0"/>
        <v>2622.7392293956154</v>
      </c>
      <c r="AT13" s="286">
        <f t="shared" si="0"/>
        <v>-2135.569178441485</v>
      </c>
      <c r="AU13" s="287">
        <f>AT13-AS13</f>
        <v>-4758.3084078371</v>
      </c>
      <c r="AV13" s="285">
        <f t="shared" si="1"/>
        <v>3282.1378008241786</v>
      </c>
      <c r="AW13" s="286">
        <f t="shared" si="1"/>
        <v>-657.3461483516442</v>
      </c>
      <c r="AX13" s="287">
        <f>AW13-AV13</f>
        <v>-3939.483949175823</v>
      </c>
    </row>
    <row r="14" spans="2:43" ht="12.75" customHeight="1">
      <c r="B14" s="213" t="s">
        <v>21</v>
      </c>
      <c r="C14" s="230">
        <v>265.8999350974548</v>
      </c>
      <c r="D14" s="1">
        <v>600.873076923077</v>
      </c>
      <c r="E14" s="232">
        <v>610.8730769230768</v>
      </c>
      <c r="F14" s="233">
        <v>876.0026473551108</v>
      </c>
      <c r="G14" s="233">
        <v>979.6272073551106</v>
      </c>
      <c r="H14" s="233">
        <v>985.4550373551107</v>
      </c>
      <c r="I14" s="232"/>
      <c r="J14" s="232">
        <v>610.873076923077</v>
      </c>
      <c r="K14" s="233">
        <v>881.4400873551107</v>
      </c>
      <c r="L14" s="233">
        <v>983.4454873551108</v>
      </c>
      <c r="M14" s="233">
        <v>990.8982373551107</v>
      </c>
      <c r="N14" s="232"/>
      <c r="P14" s="214" t="s">
        <v>21</v>
      </c>
      <c r="Q14" s="230">
        <v>164.5548639965686</v>
      </c>
      <c r="R14" s="231">
        <v>499.523076923077</v>
      </c>
      <c r="S14" s="232">
        <v>509.523076923077</v>
      </c>
      <c r="T14" s="233">
        <v>736.1470473551107</v>
      </c>
      <c r="U14" s="233">
        <v>820.5188073551107</v>
      </c>
      <c r="V14" s="233">
        <v>884.1050373551108</v>
      </c>
      <c r="W14" s="232"/>
      <c r="X14" s="232">
        <v>509.5230769230769</v>
      </c>
      <c r="Y14" s="233">
        <v>741.5844873551107</v>
      </c>
      <c r="Z14" s="233">
        <v>824.3370873551106</v>
      </c>
      <c r="AA14" s="233">
        <v>889.5482373551107</v>
      </c>
      <c r="AB14" s="232"/>
      <c r="AC14" s="244"/>
      <c r="AD14" s="226" t="s">
        <v>4</v>
      </c>
      <c r="AE14" s="226" t="s">
        <v>5</v>
      </c>
      <c r="AF14" s="226" t="s">
        <v>6</v>
      </c>
      <c r="AG14" s="226" t="s">
        <v>7</v>
      </c>
      <c r="AH14" s="226" t="s">
        <v>4</v>
      </c>
      <c r="AI14" s="226" t="s">
        <v>5</v>
      </c>
      <c r="AJ14" s="226" t="s">
        <v>6</v>
      </c>
      <c r="AK14" s="226" t="s">
        <v>7</v>
      </c>
      <c r="AM14" s="270"/>
      <c r="AO14" s="236" t="s">
        <v>134</v>
      </c>
      <c r="AP14" s="237" t="s">
        <v>135</v>
      </c>
      <c r="AQ14" s="278"/>
    </row>
    <row r="15" spans="6:42" ht="12">
      <c r="F15" s="4"/>
      <c r="G15" s="4"/>
      <c r="H15" s="4"/>
      <c r="I15" s="4"/>
      <c r="J15" s="4"/>
      <c r="K15" s="4"/>
      <c r="L15" s="4"/>
      <c r="M15" s="4"/>
      <c r="N15" s="232"/>
      <c r="T15" s="4"/>
      <c r="U15" s="4"/>
      <c r="V15" s="4"/>
      <c r="W15" s="4"/>
      <c r="X15" s="4"/>
      <c r="Y15" s="4"/>
      <c r="Z15" s="4"/>
      <c r="AA15" s="4"/>
      <c r="AB15" s="232"/>
      <c r="AC15" s="244"/>
      <c r="AD15" s="254"/>
      <c r="AE15" s="255"/>
      <c r="AF15" s="255"/>
      <c r="AG15" s="256"/>
      <c r="AH15" s="254"/>
      <c r="AI15" s="255"/>
      <c r="AJ15" s="255"/>
      <c r="AK15" s="256"/>
      <c r="AM15" s="270"/>
      <c r="AP15" s="272"/>
    </row>
    <row r="16" spans="2:43" ht="12">
      <c r="B16" s="223" t="s">
        <v>119</v>
      </c>
      <c r="D16" s="250"/>
      <c r="E16" s="250"/>
      <c r="P16" s="225" t="s">
        <v>119</v>
      </c>
      <c r="AC16" s="238" t="s">
        <v>128</v>
      </c>
      <c r="AD16" s="239">
        <f>VLOOKUP($AR$2,$P$8:$AA$14,3,FALSE)</f>
        <v>380.7184615384615</v>
      </c>
      <c r="AE16" s="240">
        <f>VLOOKUP($AR$2,$P$8:$AA$14,3,FALSE)</f>
        <v>380.7184615384615</v>
      </c>
      <c r="AF16" s="240">
        <f>VLOOKUP($AR$2,$P$8:$AA$14,3,FALSE)</f>
        <v>380.7184615384615</v>
      </c>
      <c r="AG16" s="241">
        <f>VLOOKUP($AR$2,$P$8:$AA$14,3,FALSE)</f>
        <v>380.7184615384615</v>
      </c>
      <c r="AH16" s="239">
        <f>VLOOKUP($AR$2,$P$17:$AA$23,3,FALSE)</f>
        <v>372.57743799720964</v>
      </c>
      <c r="AI16" s="240">
        <f>VLOOKUP($AR$2,$P$17:$AA$23,3,FALSE)</f>
        <v>372.57743799720964</v>
      </c>
      <c r="AJ16" s="240">
        <f>VLOOKUP($AR$2,$P$17:$AA$23,3,FALSE)</f>
        <v>372.57743799720964</v>
      </c>
      <c r="AK16" s="241">
        <f>VLOOKUP($AR$2,$P$17:$AA$23,3,FALSE)</f>
        <v>372.57743799720964</v>
      </c>
      <c r="AL16" s="271"/>
      <c r="AM16" s="239">
        <f>HLOOKUP($AR$3,$AD$14:$AG$20,3,FALSE)</f>
        <v>380.7184615384615</v>
      </c>
      <c r="AN16" s="240">
        <f>HLOOKUP($AR$3,$AH$14:$AK$20,3,FALSE)</f>
        <v>372.57743799720964</v>
      </c>
      <c r="AO16" s="242">
        <f aca="true" t="shared" si="4" ref="AO16:AP20">AM16*$AD$3</f>
        <v>19851.74835164835</v>
      </c>
      <c r="AP16" s="243">
        <f t="shared" si="4"/>
        <v>19427.252124140217</v>
      </c>
      <c r="AQ16" s="277"/>
    </row>
    <row r="17" spans="1:43" ht="12">
      <c r="A17" s="96" t="s">
        <v>117</v>
      </c>
      <c r="B17" s="213" t="s">
        <v>11</v>
      </c>
      <c r="C17" s="230">
        <v>229.30359875081356</v>
      </c>
      <c r="D17" s="1">
        <v>455.4222841510558</v>
      </c>
      <c r="E17" s="1">
        <v>491.0022841510558</v>
      </c>
      <c r="F17" s="1">
        <v>590.1153995356711</v>
      </c>
      <c r="G17" s="1">
        <v>653.1719595356712</v>
      </c>
      <c r="H17" s="1">
        <v>732.4261629206711</v>
      </c>
      <c r="I17" s="1"/>
      <c r="J17" s="1">
        <v>501.15728415105576</v>
      </c>
      <c r="K17" s="1">
        <v>600.8673995356712</v>
      </c>
      <c r="L17" s="1">
        <v>664.2390995356712</v>
      </c>
      <c r="M17" s="1">
        <v>748.4197629206711</v>
      </c>
      <c r="O17" s="96" t="s">
        <v>129</v>
      </c>
      <c r="P17" s="214" t="s">
        <v>11</v>
      </c>
      <c r="Q17" s="230">
        <v>146.7261021760684</v>
      </c>
      <c r="R17" s="2">
        <v>372.57743799720964</v>
      </c>
      <c r="S17" s="1">
        <v>408.1574379972096</v>
      </c>
      <c r="T17" s="1">
        <v>490.77296140999664</v>
      </c>
      <c r="U17" s="1">
        <v>542.3779595356712</v>
      </c>
      <c r="V17" s="1">
        <v>609.1307995356713</v>
      </c>
      <c r="W17" s="1"/>
      <c r="X17" s="1">
        <v>418.3124379972096</v>
      </c>
      <c r="Y17" s="1">
        <v>499.4813995356712</v>
      </c>
      <c r="Z17" s="1">
        <v>553.4450995356711</v>
      </c>
      <c r="AA17" s="1">
        <v>625.1243995356712</v>
      </c>
      <c r="AC17" s="244" t="str">
        <f>"In work net earnings: working "&amp;$AR$3</f>
        <v>In work net earnings: working Full-time - 35 hours</v>
      </c>
      <c r="AD17" s="245">
        <f>VLOOKUP($AR$2,$P$8:$AA$14,4,FALSE)</f>
        <v>400.7184615384615</v>
      </c>
      <c r="AE17" s="246">
        <f>VLOOKUP($AR$2,$P$8:$AA$14,5,FALSE)</f>
        <v>556.823679662803</v>
      </c>
      <c r="AF17" s="246">
        <f>VLOOKUP($AR$2,$P$8:$AA$14,6,FALSE)</f>
        <v>618.1068088935722</v>
      </c>
      <c r="AG17" s="247">
        <f>VLOOKUP($AR$2,$P$8:$AA$14,7,FALSE)</f>
        <v>692.8235700474183</v>
      </c>
      <c r="AH17" s="245">
        <f>VLOOKUP($AR$2,$P$17:$AA$23,4,FALSE)</f>
        <v>408.1574379972096</v>
      </c>
      <c r="AI17" s="246">
        <f>VLOOKUP($AR$2,$P$17:$AA$23,5,FALSE)</f>
        <v>490.77296140999664</v>
      </c>
      <c r="AJ17" s="246">
        <f>VLOOKUP($AR$2,$P$17:$AA$23,6,FALSE)</f>
        <v>542.3779595356712</v>
      </c>
      <c r="AK17" s="247">
        <f>VLOOKUP($AR$2,$P$17:$AA$23,7,FALSE)</f>
        <v>609.1307995356713</v>
      </c>
      <c r="AM17" s="245">
        <f>HLOOKUP($AR$3,$AD$14:$AG$20,4,FALSE)</f>
        <v>692.8235700474183</v>
      </c>
      <c r="AN17" s="246">
        <f>HLOOKUP($AR$3,$AH$14:$AK$20,4,FALSE)</f>
        <v>609.1307995356713</v>
      </c>
      <c r="AO17" s="248">
        <f t="shared" si="4"/>
        <v>36125.800438186816</v>
      </c>
      <c r="AP17" s="249">
        <f t="shared" si="4"/>
        <v>31761.82026150286</v>
      </c>
      <c r="AQ17" s="277"/>
    </row>
    <row r="18" spans="1:43" ht="12">
      <c r="A18" s="257">
        <v>1210</v>
      </c>
      <c r="B18" s="213" t="s">
        <v>16</v>
      </c>
      <c r="C18" s="230">
        <v>229.30359875081356</v>
      </c>
      <c r="D18" s="1">
        <v>492.66483758988085</v>
      </c>
      <c r="E18" s="1">
        <v>521.3678375898808</v>
      </c>
      <c r="F18" s="1">
        <v>542.0654433854552</v>
      </c>
      <c r="G18" s="1">
        <v>550.2703340800336</v>
      </c>
      <c r="H18" s="1">
        <v>560.2099056577798</v>
      </c>
      <c r="I18" s="1"/>
      <c r="J18" s="1">
        <v>525.3998375898808</v>
      </c>
      <c r="K18" s="1">
        <v>552.8174433854551</v>
      </c>
      <c r="L18" s="1">
        <v>559.0465060800336</v>
      </c>
      <c r="M18" s="1">
        <v>572.9375856577798</v>
      </c>
      <c r="O18" s="257">
        <v>1195</v>
      </c>
      <c r="P18" s="214" t="s">
        <v>16</v>
      </c>
      <c r="Q18" s="230">
        <v>146.7261021760684</v>
      </c>
      <c r="R18" s="1">
        <v>409.8199914360347</v>
      </c>
      <c r="S18" s="1">
        <v>438.52299143603466</v>
      </c>
      <c r="T18" s="1">
        <v>459.22135023477017</v>
      </c>
      <c r="U18" s="1">
        <v>467.4262409293487</v>
      </c>
      <c r="V18" s="1">
        <v>477.36581250709486</v>
      </c>
      <c r="W18" s="1"/>
      <c r="X18" s="1">
        <v>442.5549914360347</v>
      </c>
      <c r="Y18" s="1">
        <v>469.97335023477024</v>
      </c>
      <c r="Z18" s="1">
        <v>476.20241292934867</v>
      </c>
      <c r="AA18" s="1">
        <v>490.0934925070949</v>
      </c>
      <c r="AC18" s="244" t="s">
        <v>115</v>
      </c>
      <c r="AD18" s="245">
        <f>(VLOOKUP($AR$2,$P$27:$AA$33,4,FALSE))+(VLOOKUP($AR$2,$P$27:$AA$33,2,FALSE))+($A$18/52)</f>
        <v>226.59533294529916</v>
      </c>
      <c r="AE18" s="246">
        <f>(VLOOKUP($AR$2,$P$27:$AA$33,5,FALSE))+(VLOOKUP($AR$2,$P$27:$AA$33,2,FALSE))+($A$18/52)</f>
        <v>292.99533294529914</v>
      </c>
      <c r="AF18" s="246">
        <f>(VLOOKUP($AR$2,$P$27:$AA$33,6,FALSE))+(VLOOKUP($AR$2,$P$27:$AA$33,2,FALSE))+($A$18/52)</f>
        <v>346.11533294529914</v>
      </c>
      <c r="AG18" s="247">
        <f>(VLOOKUP($AR$2,$P$27:$AA$33,7,FALSE))+(VLOOKUP($AR$2,$P$27:$AA$33,2,FALSE))+($A$18/52)</f>
        <v>419.15533294529916</v>
      </c>
      <c r="AH18" s="245">
        <f>(VLOOKUP($AR$2,$P$27:$AA$33,4,FALSE))+(VLOOKUP($AR$2,$P$27:$AA$33,2,FALSE))+($A$18/52)</f>
        <v>226.59533294529916</v>
      </c>
      <c r="AI18" s="246">
        <f>(VLOOKUP($AR$2,$P$27:$AA$33,5,FALSE))+(VLOOKUP($AR$2,$P$27:$AA$33,2,FALSE))+($A$18/52)</f>
        <v>292.99533294529914</v>
      </c>
      <c r="AJ18" s="246">
        <f>(VLOOKUP($AR$2,$P$27:$AA$33,6,FALSE))+(VLOOKUP($AR$2,$P$27:$AA$33,2,FALSE))+($A$18/52)</f>
        <v>346.11533294529914</v>
      </c>
      <c r="AK18" s="247">
        <f>(VLOOKUP($AR$2,$P$27:$AA$33,7,FALSE))+(VLOOKUP($AR$2,$P$27:$AA$33,2,FALSE))+($A$18/52)</f>
        <v>419.15533294529916</v>
      </c>
      <c r="AM18" s="245">
        <f>HLOOKUP($AR$3,$AD$14:$AG$20,5,FALSE)</f>
        <v>419.15533294529916</v>
      </c>
      <c r="AN18" s="246">
        <f>HLOOKUP($AR$3,$AH$14:$AK$20,5,FALSE)</f>
        <v>419.15533294529916</v>
      </c>
      <c r="AO18" s="248">
        <f t="shared" si="4"/>
        <v>21855.956646433457</v>
      </c>
      <c r="AP18" s="249">
        <f t="shared" si="4"/>
        <v>21855.956646433457</v>
      </c>
      <c r="AQ18" s="277"/>
    </row>
    <row r="19" spans="2:43" ht="12">
      <c r="B19" s="213" t="s">
        <v>17</v>
      </c>
      <c r="C19" s="230">
        <v>229.30359875081356</v>
      </c>
      <c r="D19" s="1">
        <v>492.66483758988085</v>
      </c>
      <c r="E19" s="1">
        <v>533.8208375898809</v>
      </c>
      <c r="F19" s="1">
        <v>647.5659529744962</v>
      </c>
      <c r="G19" s="1">
        <v>727.0870729744962</v>
      </c>
      <c r="H19" s="1">
        <v>821.9661163594963</v>
      </c>
      <c r="I19" s="1"/>
      <c r="J19" s="1">
        <v>541.8848375898808</v>
      </c>
      <c r="K19" s="1">
        <v>669.0699529744962</v>
      </c>
      <c r="L19" s="1">
        <v>749.2213529744962</v>
      </c>
      <c r="M19" s="1">
        <v>853.9533163594963</v>
      </c>
      <c r="N19" s="1"/>
      <c r="P19" s="214" t="s">
        <v>17</v>
      </c>
      <c r="Q19" s="230">
        <v>146.7261021760684</v>
      </c>
      <c r="R19" s="1">
        <v>409.8199914360347</v>
      </c>
      <c r="S19" s="1">
        <v>450.97599143603463</v>
      </c>
      <c r="T19" s="1">
        <v>546.1799529744962</v>
      </c>
      <c r="U19" s="1">
        <v>616.2930729744961</v>
      </c>
      <c r="V19" s="1">
        <v>698.6707529744962</v>
      </c>
      <c r="W19" s="1"/>
      <c r="X19" s="1">
        <v>459.03999143603465</v>
      </c>
      <c r="Y19" s="1">
        <v>567.6839529744962</v>
      </c>
      <c r="Z19" s="1">
        <v>638.4273529744962</v>
      </c>
      <c r="AA19" s="1">
        <v>730.6579529744961</v>
      </c>
      <c r="AB19" s="1"/>
      <c r="AC19" s="244" t="str">
        <f>"In work spending power: working "&amp;$AR$3</f>
        <v>In work spending power: working Full-time - 35 hours</v>
      </c>
      <c r="AD19" s="251">
        <f aca="true" t="shared" si="5" ref="AD19:AK19">AD17-AD18</f>
        <v>174.12312859316233</v>
      </c>
      <c r="AE19" s="252">
        <f t="shared" si="5"/>
        <v>263.82834671750385</v>
      </c>
      <c r="AF19" s="252">
        <f t="shared" si="5"/>
        <v>271.99147594827303</v>
      </c>
      <c r="AG19" s="253">
        <f t="shared" si="5"/>
        <v>273.6682371021192</v>
      </c>
      <c r="AH19" s="251">
        <f t="shared" si="5"/>
        <v>181.56210505191046</v>
      </c>
      <c r="AI19" s="252">
        <f t="shared" si="5"/>
        <v>197.7776284646975</v>
      </c>
      <c r="AJ19" s="252">
        <f t="shared" si="5"/>
        <v>196.262626590372</v>
      </c>
      <c r="AK19" s="253">
        <f t="shared" si="5"/>
        <v>189.9754665903721</v>
      </c>
      <c r="AM19" s="245">
        <f>HLOOKUP($AR$3,$AD$14:$AG$20,6,FALSE)</f>
        <v>273.6682371021192</v>
      </c>
      <c r="AN19" s="246">
        <f>HLOOKUP($AR$3,$AH$14:$AK$20,6,FALSE)</f>
        <v>189.9754665903721</v>
      </c>
      <c r="AO19" s="248">
        <f t="shared" si="4"/>
        <v>14269.843791753357</v>
      </c>
      <c r="AP19" s="249">
        <f t="shared" si="4"/>
        <v>9905.863615069402</v>
      </c>
      <c r="AQ19" s="277"/>
    </row>
    <row r="20" spans="2:43" ht="12">
      <c r="B20" s="213" t="s">
        <v>18</v>
      </c>
      <c r="C20" s="230">
        <v>265.8999350974548</v>
      </c>
      <c r="D20" s="1">
        <v>492.66483758988085</v>
      </c>
      <c r="E20" s="1">
        <v>535.58</v>
      </c>
      <c r="F20" s="1">
        <v>578.6654433854551</v>
      </c>
      <c r="G20" s="1">
        <v>586.8703340800336</v>
      </c>
      <c r="H20" s="1">
        <v>596.8099056577797</v>
      </c>
      <c r="I20" s="1"/>
      <c r="J20" s="1">
        <v>547.1</v>
      </c>
      <c r="K20" s="3">
        <v>589.417443385455</v>
      </c>
      <c r="L20" s="1">
        <v>595.6465060800335</v>
      </c>
      <c r="M20" s="1">
        <v>609.5375856577797</v>
      </c>
      <c r="N20" s="1"/>
      <c r="P20" s="214" t="s">
        <v>18</v>
      </c>
      <c r="Q20" s="230">
        <v>164.5548639965686</v>
      </c>
      <c r="R20" s="1">
        <v>409.8199914360347</v>
      </c>
      <c r="S20" s="1">
        <v>456.34299143603465</v>
      </c>
      <c r="T20" s="1">
        <v>477.04135023477016</v>
      </c>
      <c r="U20" s="1">
        <v>485.2462409293487</v>
      </c>
      <c r="V20" s="1">
        <v>495.18581250709485</v>
      </c>
      <c r="W20" s="1"/>
      <c r="X20" s="1">
        <v>460.37499143603463</v>
      </c>
      <c r="Y20" s="1">
        <v>487.7933502347702</v>
      </c>
      <c r="Z20" s="1">
        <v>494.02241292934866</v>
      </c>
      <c r="AA20" s="1">
        <v>507.9134925070948</v>
      </c>
      <c r="AB20" s="1"/>
      <c r="AC20" s="244" t="s">
        <v>137</v>
      </c>
      <c r="AD20" s="258">
        <f>(VLOOKUP($AR$2,$P$37:$AA$43,4,FALSE))-(VLOOKUP($AR$2,$P$37:$AA$43,3,FALSE))</f>
        <v>-36.599999999999994</v>
      </c>
      <c r="AE20" s="259">
        <f>(VLOOKUP($AR$2,$P$37:$AA$43,5,FALSE))-(VLOOKUP($AR$2,$P$37:$AA$43,3,FALSE))</f>
        <v>53.10521812434152</v>
      </c>
      <c r="AF20" s="259">
        <f>(VLOOKUP($AR$2,$P$37:$AA$43,6,FALSE))-(VLOOKUP($AR$2,$P$37:$AA$43,3,FALSE))</f>
        <v>61.268347355110706</v>
      </c>
      <c r="AG20" s="260">
        <f>(VLOOKUP($AR$2,$P$37:$AA$43,7,FALSE))-(VLOOKUP($AR$2,$P$37:$AA$43,3,FALSE))</f>
        <v>62.94510850895685</v>
      </c>
      <c r="AH20" s="258">
        <f>(VLOOKUP($AR$2,$P$46:$AA$52,4,FALSE))-(VLOOKUP($AR$2,$P$46:$AA$52,3,FALSE))</f>
        <v>-21.02000000000001</v>
      </c>
      <c r="AI20" s="259">
        <f>(VLOOKUP($AR$2,$P$46:$AA$52,5,FALSE))-(VLOOKUP($AR$2,$P$46:$AA$52,3,FALSE))</f>
        <v>-4.804476587212974</v>
      </c>
      <c r="AJ20" s="259">
        <f>(VLOOKUP($AR$2,$P$46:$AA$52,6,FALSE))-(VLOOKUP($AR$2,$P$46:$AA$52,3,FALSE))</f>
        <v>-6.319478461538466</v>
      </c>
      <c r="AK20" s="260">
        <f>(VLOOKUP($AR$2,$P$46:$AA$52,7,FALSE))-(VLOOKUP($AR$2,$P$46:$AA$52,3,FALSE))</f>
        <v>-12.606638461538381</v>
      </c>
      <c r="AM20" s="258">
        <f>HLOOKUP($AR$3,$AD$14:$AG$20,7,FALSE)</f>
        <v>62.94510850895685</v>
      </c>
      <c r="AN20" s="259">
        <f>HLOOKUP($AR$3,$AH$14:$AK$20,7,FALSE)</f>
        <v>-12.606638461538381</v>
      </c>
      <c r="AO20" s="261">
        <f t="shared" si="4"/>
        <v>3282.1378008241786</v>
      </c>
      <c r="AP20" s="262">
        <f t="shared" si="4"/>
        <v>-657.3461483516442</v>
      </c>
      <c r="AQ20" s="277"/>
    </row>
    <row r="21" spans="2:43" ht="12">
      <c r="B21" s="213" t="s">
        <v>19</v>
      </c>
      <c r="C21" s="230">
        <v>265.8999350974548</v>
      </c>
      <c r="D21" s="1">
        <v>492.66483758988085</v>
      </c>
      <c r="E21" s="1">
        <v>570.4208375898808</v>
      </c>
      <c r="F21" s="1">
        <v>684.1659529744961</v>
      </c>
      <c r="G21" s="1">
        <v>763.6870729744962</v>
      </c>
      <c r="H21" s="1">
        <v>858.5661163594962</v>
      </c>
      <c r="I21" s="1"/>
      <c r="J21" s="1">
        <v>578.4848375898807</v>
      </c>
      <c r="K21" s="1">
        <v>705.6699529744961</v>
      </c>
      <c r="L21" s="1">
        <v>785.8213529744962</v>
      </c>
      <c r="M21" s="1">
        <v>890.5533163594962</v>
      </c>
      <c r="N21" s="1"/>
      <c r="P21" s="214" t="s">
        <v>19</v>
      </c>
      <c r="Q21" s="230">
        <v>164.5548639965686</v>
      </c>
      <c r="R21" s="1">
        <v>409.8199914360347</v>
      </c>
      <c r="S21" s="1">
        <v>468.7959914360347</v>
      </c>
      <c r="T21" s="1">
        <v>563.9999529744962</v>
      </c>
      <c r="U21" s="1">
        <v>634.1130729744962</v>
      </c>
      <c r="V21" s="1">
        <v>716.4907529744962</v>
      </c>
      <c r="W21" s="1"/>
      <c r="X21" s="1">
        <v>476.85999143603465</v>
      </c>
      <c r="Y21" s="1">
        <v>585.5039529744962</v>
      </c>
      <c r="Z21" s="1">
        <v>656.2473529744962</v>
      </c>
      <c r="AA21" s="1">
        <v>748.4779529744962</v>
      </c>
      <c r="AB21" s="1"/>
      <c r="AC21" s="244"/>
      <c r="AE21" s="246"/>
      <c r="AF21" s="246"/>
      <c r="AG21" s="246"/>
      <c r="AI21" s="246"/>
      <c r="AJ21" s="246"/>
      <c r="AK21" s="246"/>
      <c r="AO21" s="263"/>
      <c r="AP21" s="263"/>
      <c r="AQ21" s="277"/>
    </row>
    <row r="22" spans="2:43" ht="12">
      <c r="B22" s="213" t="s">
        <v>20</v>
      </c>
      <c r="C22" s="230">
        <v>265.8999350974548</v>
      </c>
      <c r="D22" s="1">
        <v>492.66483758988085</v>
      </c>
      <c r="E22" s="1">
        <v>535.58</v>
      </c>
      <c r="F22" s="1">
        <v>594.88</v>
      </c>
      <c r="G22" s="1">
        <v>653.764736078035</v>
      </c>
      <c r="H22" s="1">
        <v>663.7043076557811</v>
      </c>
      <c r="I22" s="1"/>
      <c r="J22" s="1">
        <v>547.1</v>
      </c>
      <c r="K22" s="1">
        <v>625.6</v>
      </c>
      <c r="L22" s="1">
        <v>662.540908078035</v>
      </c>
      <c r="M22" s="1">
        <v>676.4319876557811</v>
      </c>
      <c r="N22" s="1"/>
      <c r="P22" s="214" t="s">
        <v>20</v>
      </c>
      <c r="Q22" s="230">
        <v>164.5548639965686</v>
      </c>
      <c r="R22" s="1">
        <v>409.8199914360347</v>
      </c>
      <c r="S22" s="1">
        <v>521.3056236400597</v>
      </c>
      <c r="T22" s="1">
        <v>542.0039824387952</v>
      </c>
      <c r="U22" s="1">
        <v>552.1406429273501</v>
      </c>
      <c r="V22" s="1">
        <v>562.0802145050963</v>
      </c>
      <c r="W22" s="1"/>
      <c r="X22" s="1">
        <v>525.3376236400596</v>
      </c>
      <c r="Y22" s="1">
        <v>552.7559824387952</v>
      </c>
      <c r="Z22" s="1">
        <v>560.9168149273501</v>
      </c>
      <c r="AA22" s="1">
        <v>574.8078945050963</v>
      </c>
      <c r="AB22" s="1"/>
      <c r="AC22" s="244"/>
      <c r="AE22" s="246"/>
      <c r="AF22" s="246"/>
      <c r="AG22" s="246"/>
      <c r="AI22" s="246"/>
      <c r="AJ22" s="246"/>
      <c r="AK22" s="246"/>
      <c r="AO22" s="263"/>
      <c r="AP22" s="263"/>
      <c r="AQ22" s="277"/>
    </row>
    <row r="23" spans="2:43" ht="12">
      <c r="B23" s="264" t="s">
        <v>21</v>
      </c>
      <c r="C23" s="265">
        <v>265.8999350974548</v>
      </c>
      <c r="D23" s="266">
        <v>492.66483758988085</v>
      </c>
      <c r="E23" s="266">
        <v>571.16</v>
      </c>
      <c r="F23" s="266">
        <v>795.7205851785211</v>
      </c>
      <c r="G23" s="266">
        <v>892.2790685635212</v>
      </c>
      <c r="H23" s="266">
        <v>923.5287485635213</v>
      </c>
      <c r="I23" s="266"/>
      <c r="J23" s="266">
        <v>594.2</v>
      </c>
      <c r="K23" s="266">
        <v>817.2245851785212</v>
      </c>
      <c r="L23" s="266">
        <v>914.4133485635211</v>
      </c>
      <c r="M23" s="266">
        <v>955.5159485635212</v>
      </c>
      <c r="P23" s="267" t="s">
        <v>21</v>
      </c>
      <c r="Q23" s="265">
        <v>164.5548639965686</v>
      </c>
      <c r="R23" s="266">
        <v>409.8199914360347</v>
      </c>
      <c r="S23" s="266">
        <v>533.7586236400597</v>
      </c>
      <c r="T23" s="266">
        <v>666.1465851785211</v>
      </c>
      <c r="U23" s="266">
        <v>754.8517051785211</v>
      </c>
      <c r="V23" s="266">
        <v>822.1787485635214</v>
      </c>
      <c r="W23" s="266"/>
      <c r="X23" s="266">
        <v>541.8226236400596</v>
      </c>
      <c r="Y23" s="266">
        <v>687.6505851785212</v>
      </c>
      <c r="Z23" s="266">
        <v>776.9859851785211</v>
      </c>
      <c r="AA23" s="266">
        <v>854.1659485635213</v>
      </c>
      <c r="AC23" s="244"/>
      <c r="AE23" s="252"/>
      <c r="AF23" s="252"/>
      <c r="AG23" s="252"/>
      <c r="AI23" s="252"/>
      <c r="AJ23" s="252"/>
      <c r="AK23" s="252"/>
      <c r="AO23" s="263"/>
      <c r="AP23" s="263"/>
      <c r="AQ23" s="277"/>
    </row>
    <row r="24" spans="29:43" ht="12">
      <c r="AC24" s="244"/>
      <c r="AE24" s="246"/>
      <c r="AF24" s="246"/>
      <c r="AG24" s="246"/>
      <c r="AI24" s="246"/>
      <c r="AJ24" s="246"/>
      <c r="AK24" s="246"/>
      <c r="AO24" s="263"/>
      <c r="AP24" s="263"/>
      <c r="AQ24" s="277"/>
    </row>
    <row r="25" spans="2:16" ht="12">
      <c r="B25" s="217" t="s">
        <v>115</v>
      </c>
      <c r="P25" s="244" t="s">
        <v>115</v>
      </c>
    </row>
    <row r="26" spans="2:43" ht="12">
      <c r="B26" s="217" t="s">
        <v>116</v>
      </c>
      <c r="D26" s="268"/>
      <c r="P26" s="244" t="s">
        <v>116</v>
      </c>
      <c r="R26" s="268"/>
      <c r="AC26" s="244"/>
      <c r="AE26" s="246"/>
      <c r="AF26" s="246"/>
      <c r="AG26" s="246"/>
      <c r="AI26" s="246"/>
      <c r="AJ26" s="246"/>
      <c r="AK26" s="246"/>
      <c r="AO26" s="263"/>
      <c r="AP26" s="263"/>
      <c r="AQ26" s="277"/>
    </row>
    <row r="27" spans="2:43" ht="12">
      <c r="B27" s="213" t="s">
        <v>11</v>
      </c>
      <c r="C27" s="230">
        <v>229.30359875081356</v>
      </c>
      <c r="D27" s="1"/>
      <c r="E27" s="1">
        <v>76.68</v>
      </c>
      <c r="F27" s="1">
        <v>159.88</v>
      </c>
      <c r="G27" s="1">
        <v>226.44</v>
      </c>
      <c r="H27" s="1">
        <v>317.96</v>
      </c>
      <c r="I27" s="1"/>
      <c r="J27" s="1">
        <v>76.68</v>
      </c>
      <c r="K27" s="1">
        <v>159.88</v>
      </c>
      <c r="L27" s="1">
        <v>226.44</v>
      </c>
      <c r="M27" s="1">
        <v>317.96</v>
      </c>
      <c r="P27" s="214" t="s">
        <v>11</v>
      </c>
      <c r="Q27" s="230">
        <v>146.7261021760684</v>
      </c>
      <c r="R27" s="2"/>
      <c r="S27" s="1">
        <v>56.6</v>
      </c>
      <c r="T27" s="1">
        <v>123</v>
      </c>
      <c r="U27" s="1">
        <v>176.12</v>
      </c>
      <c r="V27" s="1">
        <v>249.16</v>
      </c>
      <c r="W27" s="1"/>
      <c r="X27" s="1">
        <v>56.6</v>
      </c>
      <c r="Y27" s="1">
        <v>123</v>
      </c>
      <c r="Z27" s="1">
        <v>176.12</v>
      </c>
      <c r="AA27" s="1">
        <v>249.16</v>
      </c>
      <c r="AC27" s="244"/>
      <c r="AE27" s="246"/>
      <c r="AF27" s="246"/>
      <c r="AG27" s="246"/>
      <c r="AI27" s="246"/>
      <c r="AJ27" s="246"/>
      <c r="AK27" s="246"/>
      <c r="AO27" s="263"/>
      <c r="AP27" s="263"/>
      <c r="AQ27" s="277"/>
    </row>
    <row r="28" spans="2:43" ht="12">
      <c r="B28" s="213" t="s">
        <v>16</v>
      </c>
      <c r="C28" s="230">
        <v>229.30359875081356</v>
      </c>
      <c r="D28" s="1"/>
      <c r="E28" s="1">
        <v>26.76</v>
      </c>
      <c r="F28" s="1">
        <v>26.76</v>
      </c>
      <c r="G28" s="1">
        <v>26.76</v>
      </c>
      <c r="H28" s="1">
        <v>26.76</v>
      </c>
      <c r="I28" s="1"/>
      <c r="J28" s="1">
        <v>26.76</v>
      </c>
      <c r="K28" s="1">
        <v>26.76</v>
      </c>
      <c r="L28" s="1">
        <v>26.76</v>
      </c>
      <c r="M28" s="1">
        <v>26.76</v>
      </c>
      <c r="P28" s="214" t="s">
        <v>16</v>
      </c>
      <c r="Q28" s="230">
        <v>146.7261021760684</v>
      </c>
      <c r="R28" s="1"/>
      <c r="S28" s="1">
        <v>16.76</v>
      </c>
      <c r="T28" s="1">
        <v>16.76</v>
      </c>
      <c r="U28" s="1">
        <v>16.76</v>
      </c>
      <c r="V28" s="1">
        <v>16.76</v>
      </c>
      <c r="W28" s="1"/>
      <c r="X28" s="1">
        <v>16.76</v>
      </c>
      <c r="Y28" s="1">
        <v>16.76</v>
      </c>
      <c r="Z28" s="1">
        <v>16.76</v>
      </c>
      <c r="AA28" s="1">
        <v>16.76</v>
      </c>
      <c r="AC28" s="244"/>
      <c r="AE28" s="252"/>
      <c r="AF28" s="252"/>
      <c r="AG28" s="252"/>
      <c r="AI28" s="252"/>
      <c r="AJ28" s="252"/>
      <c r="AK28" s="252"/>
      <c r="AO28" s="263"/>
      <c r="AP28" s="263"/>
      <c r="AQ28" s="277"/>
    </row>
    <row r="29" spans="2:43" ht="12">
      <c r="B29" s="213" t="s">
        <v>17</v>
      </c>
      <c r="C29" s="230">
        <v>229.30359875081356</v>
      </c>
      <c r="D29" s="1"/>
      <c r="E29" s="1">
        <v>103.44</v>
      </c>
      <c r="F29" s="1">
        <v>186.64</v>
      </c>
      <c r="G29" s="1">
        <v>253.2</v>
      </c>
      <c r="H29" s="1">
        <v>344.72</v>
      </c>
      <c r="I29" s="1"/>
      <c r="J29" s="1">
        <v>103.44</v>
      </c>
      <c r="K29" s="1">
        <v>186.64</v>
      </c>
      <c r="L29" s="1">
        <v>253.2</v>
      </c>
      <c r="M29" s="1">
        <v>344.72</v>
      </c>
      <c r="P29" s="214" t="s">
        <v>17</v>
      </c>
      <c r="Q29" s="230">
        <v>146.7261021760684</v>
      </c>
      <c r="R29" s="1"/>
      <c r="S29" s="1">
        <v>73.36</v>
      </c>
      <c r="T29" s="1">
        <v>139.76</v>
      </c>
      <c r="U29" s="1">
        <v>192.88</v>
      </c>
      <c r="V29" s="1">
        <v>265.92</v>
      </c>
      <c r="W29" s="1"/>
      <c r="X29" s="1">
        <v>73.36</v>
      </c>
      <c r="Y29" s="1">
        <v>139.76</v>
      </c>
      <c r="Z29" s="1">
        <v>192.88</v>
      </c>
      <c r="AA29" s="1">
        <v>265.92</v>
      </c>
      <c r="AC29" s="244"/>
      <c r="AE29" s="246"/>
      <c r="AF29" s="246"/>
      <c r="AG29" s="246"/>
      <c r="AI29" s="246"/>
      <c r="AJ29" s="246"/>
      <c r="AK29" s="246"/>
      <c r="AO29" s="263"/>
      <c r="AP29" s="263"/>
      <c r="AQ29" s="277"/>
    </row>
    <row r="30" spans="2:27" ht="12">
      <c r="B30" s="213" t="s">
        <v>18</v>
      </c>
      <c r="C30" s="230">
        <v>265.8999350974548</v>
      </c>
      <c r="D30" s="1"/>
      <c r="E30" s="1">
        <v>26.76</v>
      </c>
      <c r="F30" s="1">
        <v>26.76</v>
      </c>
      <c r="G30" s="1">
        <v>26.76</v>
      </c>
      <c r="H30" s="1">
        <v>26.76</v>
      </c>
      <c r="I30" s="1"/>
      <c r="J30" s="1">
        <v>26.76</v>
      </c>
      <c r="K30" s="1">
        <v>26.76</v>
      </c>
      <c r="L30" s="1">
        <v>26.76</v>
      </c>
      <c r="M30" s="1">
        <v>26.76</v>
      </c>
      <c r="P30" s="214" t="s">
        <v>18</v>
      </c>
      <c r="Q30" s="230">
        <v>164.5548639965686</v>
      </c>
      <c r="R30" s="1"/>
      <c r="S30" s="1">
        <v>16.76</v>
      </c>
      <c r="T30" s="1">
        <v>16.76</v>
      </c>
      <c r="U30" s="1">
        <v>16.76</v>
      </c>
      <c r="V30" s="1">
        <v>16.76</v>
      </c>
      <c r="W30" s="1"/>
      <c r="X30" s="1">
        <v>16.76</v>
      </c>
      <c r="Y30" s="1">
        <v>16.76</v>
      </c>
      <c r="Z30" s="1">
        <v>16.76</v>
      </c>
      <c r="AA30" s="1">
        <v>16.76</v>
      </c>
    </row>
    <row r="31" spans="2:27" ht="12">
      <c r="B31" s="213" t="s">
        <v>19</v>
      </c>
      <c r="C31" s="230">
        <v>265.8999350974548</v>
      </c>
      <c r="D31" s="1"/>
      <c r="E31" s="1">
        <v>103.44</v>
      </c>
      <c r="F31" s="1">
        <v>186.64</v>
      </c>
      <c r="G31" s="1">
        <v>253.2</v>
      </c>
      <c r="H31" s="1">
        <v>344.72</v>
      </c>
      <c r="I31" s="1"/>
      <c r="J31" s="1">
        <v>103.44</v>
      </c>
      <c r="K31" s="1">
        <v>186.64</v>
      </c>
      <c r="L31" s="1">
        <v>253.2</v>
      </c>
      <c r="M31" s="1">
        <v>344.72</v>
      </c>
      <c r="P31" s="214" t="s">
        <v>19</v>
      </c>
      <c r="Q31" s="230">
        <v>164.5548639965686</v>
      </c>
      <c r="R31" s="1"/>
      <c r="S31" s="1">
        <v>73.36</v>
      </c>
      <c r="T31" s="1">
        <v>139.76</v>
      </c>
      <c r="U31" s="1">
        <v>192.88</v>
      </c>
      <c r="V31" s="1">
        <v>265.92</v>
      </c>
      <c r="W31" s="1"/>
      <c r="X31" s="1">
        <v>73.36</v>
      </c>
      <c r="Y31" s="1">
        <v>139.76</v>
      </c>
      <c r="Z31" s="1">
        <v>192.88</v>
      </c>
      <c r="AA31" s="1">
        <v>265.92</v>
      </c>
    </row>
    <row r="32" spans="2:27" ht="12">
      <c r="B32" s="213" t="s">
        <v>20</v>
      </c>
      <c r="C32" s="230">
        <v>265.8999350974548</v>
      </c>
      <c r="D32" s="1"/>
      <c r="E32" s="1">
        <v>26.76</v>
      </c>
      <c r="F32" s="1">
        <v>26.76</v>
      </c>
      <c r="G32" s="1">
        <v>26.76</v>
      </c>
      <c r="H32" s="1">
        <v>26.76</v>
      </c>
      <c r="I32" s="1"/>
      <c r="J32" s="1">
        <v>26.76</v>
      </c>
      <c r="K32" s="1">
        <v>26.76</v>
      </c>
      <c r="L32" s="1">
        <v>26.76</v>
      </c>
      <c r="M32" s="1">
        <v>26.76</v>
      </c>
      <c r="P32" s="214" t="s">
        <v>20</v>
      </c>
      <c r="Q32" s="230">
        <v>164.5548639965686</v>
      </c>
      <c r="R32" s="1"/>
      <c r="S32" s="1">
        <v>16.76</v>
      </c>
      <c r="T32" s="1">
        <v>16.76</v>
      </c>
      <c r="U32" s="1">
        <v>16.76</v>
      </c>
      <c r="V32" s="1">
        <v>16.76</v>
      </c>
      <c r="W32" s="1"/>
      <c r="X32" s="1">
        <v>16.76</v>
      </c>
      <c r="Y32" s="1">
        <v>16.76</v>
      </c>
      <c r="Z32" s="1">
        <v>16.76</v>
      </c>
      <c r="AA32" s="1">
        <v>16.76</v>
      </c>
    </row>
    <row r="33" spans="2:27" ht="12">
      <c r="B33" s="264" t="s">
        <v>21</v>
      </c>
      <c r="C33" s="265">
        <v>265.8999350974548</v>
      </c>
      <c r="D33" s="266"/>
      <c r="E33" s="266">
        <v>128.4</v>
      </c>
      <c r="F33" s="266">
        <v>253.20000000000002</v>
      </c>
      <c r="G33" s="266">
        <v>353.03999999999996</v>
      </c>
      <c r="H33" s="266">
        <v>490.32</v>
      </c>
      <c r="I33" s="266"/>
      <c r="J33" s="266">
        <v>128.4</v>
      </c>
      <c r="K33" s="266">
        <v>253.20000000000002</v>
      </c>
      <c r="L33" s="266">
        <v>353.03999999999996</v>
      </c>
      <c r="M33" s="266">
        <v>490.32</v>
      </c>
      <c r="P33" s="267" t="s">
        <v>21</v>
      </c>
      <c r="Q33" s="265">
        <v>164.5548639965686</v>
      </c>
      <c r="R33" s="266"/>
      <c r="S33" s="266">
        <v>93.28</v>
      </c>
      <c r="T33" s="266">
        <v>192.88</v>
      </c>
      <c r="U33" s="266">
        <v>272.56</v>
      </c>
      <c r="V33" s="266">
        <v>382.12</v>
      </c>
      <c r="W33" s="266"/>
      <c r="X33" s="266">
        <v>93.28</v>
      </c>
      <c r="Y33" s="266">
        <v>192.88</v>
      </c>
      <c r="Z33" s="266">
        <v>272.56</v>
      </c>
      <c r="AA33" s="266">
        <v>382.12</v>
      </c>
    </row>
    <row r="34" spans="5:27" ht="12">
      <c r="E34" s="1"/>
      <c r="F34" s="1"/>
      <c r="G34" s="1"/>
      <c r="H34" s="1"/>
      <c r="I34" s="1"/>
      <c r="J34" s="1"/>
      <c r="K34" s="1"/>
      <c r="L34" s="1"/>
      <c r="M34" s="1"/>
      <c r="S34" s="1"/>
      <c r="T34" s="1"/>
      <c r="U34" s="1"/>
      <c r="V34" s="1"/>
      <c r="W34" s="1"/>
      <c r="X34" s="1"/>
      <c r="Y34" s="1"/>
      <c r="Z34" s="1"/>
      <c r="AA34" s="1"/>
    </row>
    <row r="35" spans="2:16" ht="12">
      <c r="B35" s="217" t="s">
        <v>136</v>
      </c>
      <c r="P35" s="244" t="s">
        <v>136</v>
      </c>
    </row>
    <row r="36" spans="2:16" ht="12">
      <c r="B36" s="223" t="s">
        <v>118</v>
      </c>
      <c r="P36" s="225" t="s">
        <v>118</v>
      </c>
    </row>
    <row r="37" spans="2:27" ht="12">
      <c r="B37" s="213" t="s">
        <v>11</v>
      </c>
      <c r="D37" s="1">
        <f aca="true" t="shared" si="6" ref="D37:H39">D8-(D27+$C27+($A$18/52))</f>
        <v>210.7156320184172</v>
      </c>
      <c r="E37" s="1">
        <f t="shared" si="6"/>
        <v>154.03563201841718</v>
      </c>
      <c r="F37" s="1">
        <f t="shared" si="6"/>
        <v>245.75685014275865</v>
      </c>
      <c r="G37" s="1">
        <f t="shared" si="6"/>
        <v>260.1695793735278</v>
      </c>
      <c r="H37" s="1">
        <f t="shared" si="6"/>
        <v>261.0147405273742</v>
      </c>
      <c r="I37" s="1"/>
      <c r="J37" s="1">
        <f aca="true" t="shared" si="7" ref="J37:M39">J8-(J27+$C27+($A$18/52))</f>
        <v>154.03563201841712</v>
      </c>
      <c r="K37" s="1">
        <f t="shared" si="7"/>
        <v>261.74481937352795</v>
      </c>
      <c r="L37" s="1">
        <f t="shared" si="7"/>
        <v>262.0787193735278</v>
      </c>
      <c r="M37" s="1">
        <f t="shared" si="7"/>
        <v>263.73634052737407</v>
      </c>
      <c r="O37" s="230">
        <f>D37-R37</f>
        <v>-0.295958113206666</v>
      </c>
      <c r="P37" s="214" t="s">
        <v>11</v>
      </c>
      <c r="R37" s="1">
        <f aca="true" t="shared" si="8" ref="R37:AA43">R8-(R27+$Q27+($O$18/52))</f>
        <v>211.01159013162388</v>
      </c>
      <c r="S37" s="1">
        <f t="shared" si="8"/>
        <v>174.41159013162388</v>
      </c>
      <c r="T37" s="1">
        <f t="shared" si="8"/>
        <v>264.1168082559654</v>
      </c>
      <c r="U37" s="1">
        <f t="shared" si="8"/>
        <v>272.2799374867346</v>
      </c>
      <c r="V37" s="1">
        <f t="shared" si="8"/>
        <v>273.9566986405807</v>
      </c>
      <c r="W37" s="1"/>
      <c r="X37" s="1">
        <f t="shared" si="8"/>
        <v>174.41159013162394</v>
      </c>
      <c r="Y37" s="1">
        <f t="shared" si="8"/>
        <v>273.25037748673464</v>
      </c>
      <c r="Z37" s="1">
        <f t="shared" si="8"/>
        <v>274.1890774867347</v>
      </c>
      <c r="AA37" s="1">
        <f t="shared" si="8"/>
        <v>276.6782986405807</v>
      </c>
    </row>
    <row r="38" spans="2:27" ht="12">
      <c r="B38" s="213" t="s">
        <v>16</v>
      </c>
      <c r="D38" s="1">
        <f t="shared" si="6"/>
        <v>249.1656320184172</v>
      </c>
      <c r="E38" s="1">
        <f t="shared" si="6"/>
        <v>232.40563201841718</v>
      </c>
      <c r="F38" s="1">
        <f t="shared" si="6"/>
        <v>283.1912347581433</v>
      </c>
      <c r="G38" s="1">
        <f t="shared" si="6"/>
        <v>289.08767937352786</v>
      </c>
      <c r="H38" s="1">
        <f t="shared" si="6"/>
        <v>294.05124052737403</v>
      </c>
      <c r="I38" s="1"/>
      <c r="J38" s="1">
        <f t="shared" si="7"/>
        <v>232.40563201841718</v>
      </c>
      <c r="K38" s="1">
        <f t="shared" si="7"/>
        <v>287.6677193735279</v>
      </c>
      <c r="L38" s="1">
        <f t="shared" si="7"/>
        <v>290.99681937352784</v>
      </c>
      <c r="M38" s="1">
        <f t="shared" si="7"/>
        <v>296.772840527374</v>
      </c>
      <c r="P38" s="214" t="s">
        <v>16</v>
      </c>
      <c r="R38" s="1">
        <f t="shared" si="8"/>
        <v>249.46159013162386</v>
      </c>
      <c r="S38" s="1">
        <f t="shared" si="8"/>
        <v>242.70159013162387</v>
      </c>
      <c r="T38" s="1">
        <f t="shared" si="8"/>
        <v>293.48719287135</v>
      </c>
      <c r="U38" s="1">
        <f t="shared" si="8"/>
        <v>299.38363748673453</v>
      </c>
      <c r="V38" s="1">
        <f t="shared" si="8"/>
        <v>304.3471986405807</v>
      </c>
      <c r="W38" s="1"/>
      <c r="X38" s="1">
        <f t="shared" si="8"/>
        <v>242.70159013162393</v>
      </c>
      <c r="Y38" s="1">
        <f t="shared" si="8"/>
        <v>297.9636774867346</v>
      </c>
      <c r="Z38" s="1">
        <f t="shared" si="8"/>
        <v>301.2927774867345</v>
      </c>
      <c r="AA38" s="1">
        <f t="shared" si="8"/>
        <v>307.06879864058067</v>
      </c>
    </row>
    <row r="39" spans="2:27" ht="12">
      <c r="B39" s="213" t="s">
        <v>17</v>
      </c>
      <c r="D39" s="1">
        <f t="shared" si="6"/>
        <v>249.1656320184172</v>
      </c>
      <c r="E39" s="1">
        <f t="shared" si="6"/>
        <v>155.72563201841723</v>
      </c>
      <c r="F39" s="1">
        <f t="shared" si="6"/>
        <v>262.8743255273741</v>
      </c>
      <c r="G39" s="1">
        <f t="shared" si="6"/>
        <v>268.1564855273742</v>
      </c>
      <c r="H39" s="1">
        <f t="shared" si="6"/>
        <v>269.40751552737424</v>
      </c>
      <c r="I39" s="1"/>
      <c r="J39" s="1">
        <f t="shared" si="7"/>
        <v>155.72563201841717</v>
      </c>
      <c r="K39" s="1">
        <f t="shared" si="7"/>
        <v>268.3117655273741</v>
      </c>
      <c r="L39" s="1">
        <f t="shared" si="7"/>
        <v>271.97476552737413</v>
      </c>
      <c r="M39" s="1">
        <f t="shared" si="7"/>
        <v>276.0260358645712</v>
      </c>
      <c r="P39" s="214" t="s">
        <v>17</v>
      </c>
      <c r="R39" s="1">
        <f t="shared" si="8"/>
        <v>249.46159013162386</v>
      </c>
      <c r="S39" s="1">
        <f t="shared" si="8"/>
        <v>186.10159013162394</v>
      </c>
      <c r="T39" s="1">
        <f t="shared" si="8"/>
        <v>284.3798836405809</v>
      </c>
      <c r="U39" s="1">
        <f t="shared" si="8"/>
        <v>290.2668436405808</v>
      </c>
      <c r="V39" s="1">
        <f t="shared" si="8"/>
        <v>292.3494736405807</v>
      </c>
      <c r="W39" s="1"/>
      <c r="X39" s="1">
        <f t="shared" si="8"/>
        <v>186.10159013162388</v>
      </c>
      <c r="Y39" s="1">
        <f t="shared" si="8"/>
        <v>289.8173236405809</v>
      </c>
      <c r="Z39" s="1">
        <f t="shared" si="8"/>
        <v>294.0851236405808</v>
      </c>
      <c r="AA39" s="1">
        <f t="shared" si="8"/>
        <v>302.4959939777777</v>
      </c>
    </row>
    <row r="40" spans="2:27" ht="12">
      <c r="B40" s="213" t="s">
        <v>18</v>
      </c>
      <c r="D40" s="1">
        <f>D11-(D30+$C30+($A$18/52))</f>
        <v>249.16929567177596</v>
      </c>
      <c r="E40" s="1">
        <f>E11-(E30+$C30+($A$18/52))</f>
        <v>232.40929567177608</v>
      </c>
      <c r="F40" s="1">
        <f>F11-(F30+$C30+($A$18/52))</f>
        <v>283.19489841150204</v>
      </c>
      <c r="G40" s="1">
        <f>G11-(G30+$C30+($A$18/52))</f>
        <v>289.0913430268867</v>
      </c>
      <c r="H40" s="1">
        <f>H11-(H30+$C30+($A$18/52))</f>
        <v>294.0549041807329</v>
      </c>
      <c r="I40" s="1"/>
      <c r="J40" s="1">
        <f>J11-(J30+$C30+($A$18/52))</f>
        <v>232.40929567177608</v>
      </c>
      <c r="K40" s="1">
        <f>K11-(K30+$C30+($A$18/52))</f>
        <v>287.67138302688664</v>
      </c>
      <c r="L40" s="1">
        <f>L11-(L30+$C30+($A$18/52))</f>
        <v>291.00048302688657</v>
      </c>
      <c r="M40" s="1">
        <f>M11-(M30+$C30+($A$18/52))</f>
        <v>296.77650418073284</v>
      </c>
      <c r="P40" s="214" t="s">
        <v>18</v>
      </c>
      <c r="R40" s="1">
        <f t="shared" si="8"/>
        <v>249.4528283111237</v>
      </c>
      <c r="S40" s="1">
        <f t="shared" si="8"/>
        <v>242.69282831112378</v>
      </c>
      <c r="T40" s="1">
        <f t="shared" si="8"/>
        <v>293.4784310508498</v>
      </c>
      <c r="U40" s="1">
        <f t="shared" si="8"/>
        <v>299.37487566623435</v>
      </c>
      <c r="V40" s="1">
        <f t="shared" si="8"/>
        <v>304.3384368200805</v>
      </c>
      <c r="W40" s="1"/>
      <c r="X40" s="1">
        <f t="shared" si="8"/>
        <v>242.69282831112372</v>
      </c>
      <c r="Y40" s="1">
        <f t="shared" si="8"/>
        <v>297.9549156662344</v>
      </c>
      <c r="Z40" s="1">
        <f t="shared" si="8"/>
        <v>301.2840156662343</v>
      </c>
      <c r="AA40" s="1">
        <f t="shared" si="8"/>
        <v>307.0600368200805</v>
      </c>
    </row>
    <row r="41" spans="2:27" ht="12">
      <c r="B41" s="213" t="s">
        <v>19</v>
      </c>
      <c r="D41" s="1">
        <f aca="true" t="shared" si="9" ref="D41:H42">D12-(D31+$C31+($A$18/52))</f>
        <v>249.16929567177596</v>
      </c>
      <c r="E41" s="1">
        <f t="shared" si="9"/>
        <v>155.72929567177596</v>
      </c>
      <c r="F41" s="1">
        <f t="shared" si="9"/>
        <v>262.87798918073287</v>
      </c>
      <c r="G41" s="1">
        <f t="shared" si="9"/>
        <v>268.1601491807329</v>
      </c>
      <c r="H41" s="1">
        <f t="shared" si="9"/>
        <v>269.41117918073303</v>
      </c>
      <c r="I41" s="1"/>
      <c r="J41" s="1">
        <f aca="true" t="shared" si="10" ref="J41:M43">J12-(J31+$C31+($A$18/52))</f>
        <v>155.72929567177607</v>
      </c>
      <c r="K41" s="1">
        <f t="shared" si="10"/>
        <v>268.3154291807329</v>
      </c>
      <c r="L41" s="1">
        <f t="shared" si="10"/>
        <v>271.97842918073286</v>
      </c>
      <c r="M41" s="1">
        <f t="shared" si="10"/>
        <v>276.0296995179299</v>
      </c>
      <c r="P41" s="214" t="s">
        <v>19</v>
      </c>
      <c r="R41" s="1">
        <f t="shared" si="8"/>
        <v>249.4528283111237</v>
      </c>
      <c r="S41" s="1">
        <f t="shared" si="8"/>
        <v>186.09282831112375</v>
      </c>
      <c r="T41" s="1">
        <f t="shared" si="8"/>
        <v>284.3711218200807</v>
      </c>
      <c r="U41" s="1">
        <f t="shared" si="8"/>
        <v>290.25808182008063</v>
      </c>
      <c r="V41" s="1">
        <f t="shared" si="8"/>
        <v>292.34071182008057</v>
      </c>
      <c r="W41" s="1"/>
      <c r="X41" s="1">
        <f t="shared" si="8"/>
        <v>186.0928283111237</v>
      </c>
      <c r="Y41" s="1">
        <f t="shared" si="8"/>
        <v>289.8085618200806</v>
      </c>
      <c r="Z41" s="1">
        <f t="shared" si="8"/>
        <v>294.0763618200806</v>
      </c>
      <c r="AA41" s="1">
        <f t="shared" si="8"/>
        <v>302.48723215727756</v>
      </c>
    </row>
    <row r="42" spans="2:27" ht="12">
      <c r="B42" s="213" t="s">
        <v>20</v>
      </c>
      <c r="D42" s="1">
        <f t="shared" si="9"/>
        <v>311.7039110563914</v>
      </c>
      <c r="E42" s="1">
        <f t="shared" si="9"/>
        <v>294.9439110563914</v>
      </c>
      <c r="F42" s="1">
        <f t="shared" si="9"/>
        <v>348.2311291807328</v>
      </c>
      <c r="G42" s="1">
        <f t="shared" si="9"/>
        <v>362.84203533457895</v>
      </c>
      <c r="H42" s="1">
        <f t="shared" si="9"/>
        <v>367.8055964884251</v>
      </c>
      <c r="I42" s="1"/>
      <c r="J42" s="1">
        <f t="shared" si="10"/>
        <v>294.9439110563914</v>
      </c>
      <c r="K42" s="1">
        <f t="shared" si="10"/>
        <v>361.4220753345789</v>
      </c>
      <c r="L42" s="1">
        <f t="shared" si="10"/>
        <v>364.75117533457893</v>
      </c>
      <c r="M42" s="1">
        <f t="shared" si="10"/>
        <v>370.5271964884251</v>
      </c>
      <c r="P42" s="214" t="s">
        <v>20</v>
      </c>
      <c r="R42" s="1">
        <f t="shared" si="8"/>
        <v>311.98744369573916</v>
      </c>
      <c r="S42" s="1">
        <f t="shared" si="8"/>
        <v>305.22744369573917</v>
      </c>
      <c r="T42" s="1">
        <f t="shared" si="8"/>
        <v>358.5146618200806</v>
      </c>
      <c r="U42" s="1">
        <f t="shared" si="8"/>
        <v>373.12556797392665</v>
      </c>
      <c r="V42" s="1">
        <f t="shared" si="8"/>
        <v>378.0891291277728</v>
      </c>
      <c r="W42" s="1"/>
      <c r="X42" s="1">
        <f t="shared" si="8"/>
        <v>305.22744369573917</v>
      </c>
      <c r="Y42" s="1">
        <f t="shared" si="8"/>
        <v>371.7056079739267</v>
      </c>
      <c r="Z42" s="1">
        <f t="shared" si="8"/>
        <v>375.03470797392663</v>
      </c>
      <c r="AA42" s="1">
        <f t="shared" si="8"/>
        <v>380.8107291277729</v>
      </c>
    </row>
    <row r="43" spans="2:27" ht="12">
      <c r="B43" s="213" t="s">
        <v>21</v>
      </c>
      <c r="D43" s="1">
        <v>311.7</v>
      </c>
      <c r="E43" s="1">
        <f>E14-(E33+$C33+($A$18/52))</f>
        <v>193.3039110563913</v>
      </c>
      <c r="F43" s="1">
        <f>F14-(F33+$C33+($A$18/52))</f>
        <v>333.6334814884252</v>
      </c>
      <c r="G43" s="1">
        <f>G14-(G33+$C33+($A$18/52))</f>
        <v>337.41804148842516</v>
      </c>
      <c r="H43" s="1">
        <f>H14-(H33+$C33+($A$18/52))</f>
        <v>205.96587148842525</v>
      </c>
      <c r="I43" s="1"/>
      <c r="J43" s="1">
        <f t="shared" si="10"/>
        <v>193.30391105639143</v>
      </c>
      <c r="K43" s="1">
        <f t="shared" si="10"/>
        <v>339.07092148842514</v>
      </c>
      <c r="L43" s="1">
        <f t="shared" si="10"/>
        <v>341.23632148842535</v>
      </c>
      <c r="M43" s="1">
        <f t="shared" si="10"/>
        <v>211.4090714884253</v>
      </c>
      <c r="P43" s="214" t="s">
        <v>21</v>
      </c>
      <c r="R43" s="1">
        <f t="shared" si="8"/>
        <v>311.98744369573916</v>
      </c>
      <c r="S43" s="1">
        <f t="shared" si="8"/>
        <v>228.70744369573913</v>
      </c>
      <c r="T43" s="1">
        <f t="shared" si="8"/>
        <v>355.73141412777284</v>
      </c>
      <c r="U43" s="1">
        <f t="shared" si="8"/>
        <v>360.4231741277728</v>
      </c>
      <c r="V43" s="1">
        <f t="shared" si="8"/>
        <v>314.44940412777294</v>
      </c>
      <c r="W43" s="1"/>
      <c r="X43" s="1">
        <f t="shared" si="8"/>
        <v>228.70744369573907</v>
      </c>
      <c r="Y43" s="1">
        <f t="shared" si="8"/>
        <v>361.1688541277729</v>
      </c>
      <c r="Z43" s="1">
        <f t="shared" si="8"/>
        <v>364.2414541277728</v>
      </c>
      <c r="AA43" s="1">
        <f t="shared" si="8"/>
        <v>319.89260412777287</v>
      </c>
    </row>
    <row r="44" spans="5:27" ht="12">
      <c r="E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">
      <c r="B45" s="223" t="s">
        <v>119</v>
      </c>
      <c r="P45" s="225" t="s">
        <v>119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">
      <c r="B46" s="213" t="s">
        <v>11</v>
      </c>
      <c r="D46" s="1">
        <f aca="true" t="shared" si="11" ref="D46:H48">D17-(D27+$C27+($A$18/52))</f>
        <v>202.84945463101147</v>
      </c>
      <c r="E46" s="1">
        <f t="shared" si="11"/>
        <v>161.74945463101142</v>
      </c>
      <c r="F46" s="1">
        <f t="shared" si="11"/>
        <v>177.66257001562684</v>
      </c>
      <c r="G46" s="1">
        <f t="shared" si="11"/>
        <v>174.15913001562689</v>
      </c>
      <c r="H46" s="1">
        <f t="shared" si="11"/>
        <v>161.89333340062683</v>
      </c>
      <c r="I46" s="1"/>
      <c r="J46" s="1">
        <f aca="true" t="shared" si="12" ref="J46:M48">J17-(J27+$C27+($A$18/52))</f>
        <v>171.9044546310114</v>
      </c>
      <c r="K46" s="1">
        <f t="shared" si="12"/>
        <v>188.4145700156269</v>
      </c>
      <c r="L46" s="1">
        <f t="shared" si="12"/>
        <v>185.22627001562688</v>
      </c>
      <c r="M46" s="1">
        <f t="shared" si="12"/>
        <v>177.88693340062684</v>
      </c>
      <c r="P46" s="214" t="s">
        <v>11</v>
      </c>
      <c r="R46" s="1">
        <f>R17-(R27+$Q27+($O$18/52))</f>
        <v>202.87056659037202</v>
      </c>
      <c r="S46" s="1">
        <f aca="true" t="shared" si="13" ref="S46:AA46">S17-(S27+$Q27+($O$18/52))</f>
        <v>181.850566590372</v>
      </c>
      <c r="T46" s="1">
        <f t="shared" si="13"/>
        <v>198.06609000315905</v>
      </c>
      <c r="U46" s="1">
        <f t="shared" si="13"/>
        <v>196.55108812883356</v>
      </c>
      <c r="V46" s="1">
        <f t="shared" si="13"/>
        <v>190.26392812883364</v>
      </c>
      <c r="W46" s="1"/>
      <c r="X46" s="1">
        <f t="shared" si="13"/>
        <v>192.00556659037198</v>
      </c>
      <c r="Y46" s="1">
        <f t="shared" si="13"/>
        <v>206.7745281288336</v>
      </c>
      <c r="Z46" s="1">
        <f t="shared" si="13"/>
        <v>207.61822812883355</v>
      </c>
      <c r="AA46" s="1">
        <f t="shared" si="13"/>
        <v>206.25752812883354</v>
      </c>
    </row>
    <row r="47" spans="2:27" ht="12">
      <c r="B47" s="213" t="s">
        <v>16</v>
      </c>
      <c r="D47" s="1">
        <f t="shared" si="11"/>
        <v>240.0920080698365</v>
      </c>
      <c r="E47" s="1">
        <f t="shared" si="11"/>
        <v>242.0350080698364</v>
      </c>
      <c r="F47" s="1">
        <f t="shared" si="11"/>
        <v>262.7326138654108</v>
      </c>
      <c r="G47" s="1">
        <f t="shared" si="11"/>
        <v>270.9375045599893</v>
      </c>
      <c r="H47" s="1">
        <f t="shared" si="11"/>
        <v>280.87707613773546</v>
      </c>
      <c r="I47" s="1"/>
      <c r="J47" s="1">
        <f t="shared" si="12"/>
        <v>246.06700806983645</v>
      </c>
      <c r="K47" s="1">
        <f t="shared" si="12"/>
        <v>273.4846138654108</v>
      </c>
      <c r="L47" s="1">
        <f t="shared" si="12"/>
        <v>279.71367655998927</v>
      </c>
      <c r="M47" s="1">
        <f t="shared" si="12"/>
        <v>293.6047561377354</v>
      </c>
      <c r="P47" s="214" t="s">
        <v>16</v>
      </c>
      <c r="R47" s="1">
        <f aca="true" t="shared" si="14" ref="R47:AA52">R18-(R28+$Q28+($O$18/52))</f>
        <v>240.11312002919706</v>
      </c>
      <c r="S47" s="1">
        <f t="shared" si="14"/>
        <v>252.05612002919705</v>
      </c>
      <c r="T47" s="1">
        <f t="shared" si="14"/>
        <v>272.75447882793253</v>
      </c>
      <c r="U47" s="1">
        <f t="shared" si="14"/>
        <v>280.9593695225111</v>
      </c>
      <c r="V47" s="1">
        <f t="shared" si="14"/>
        <v>290.8989411002573</v>
      </c>
      <c r="W47" s="1"/>
      <c r="X47" s="1">
        <f t="shared" si="14"/>
        <v>256.08812002919706</v>
      </c>
      <c r="Y47" s="1">
        <f t="shared" si="14"/>
        <v>283.5064788279326</v>
      </c>
      <c r="Z47" s="1">
        <f t="shared" si="14"/>
        <v>289.7355415225111</v>
      </c>
      <c r="AA47" s="1">
        <f t="shared" si="14"/>
        <v>303.62662110025724</v>
      </c>
    </row>
    <row r="48" spans="2:27" ht="12">
      <c r="B48" s="213" t="s">
        <v>17</v>
      </c>
      <c r="D48" s="1">
        <f t="shared" si="11"/>
        <v>240.0920080698365</v>
      </c>
      <c r="E48" s="1">
        <f t="shared" si="11"/>
        <v>177.8080080698365</v>
      </c>
      <c r="F48" s="1">
        <f t="shared" si="11"/>
        <v>208.35312345445192</v>
      </c>
      <c r="G48" s="1">
        <f t="shared" si="11"/>
        <v>221.31424345445186</v>
      </c>
      <c r="H48" s="1">
        <f t="shared" si="11"/>
        <v>224.67328683945198</v>
      </c>
      <c r="I48" s="1"/>
      <c r="J48" s="1">
        <f t="shared" si="12"/>
        <v>185.87200806983645</v>
      </c>
      <c r="K48" s="1">
        <f t="shared" si="12"/>
        <v>229.85712345445194</v>
      </c>
      <c r="L48" s="1">
        <f t="shared" si="12"/>
        <v>243.44852345445184</v>
      </c>
      <c r="M48" s="1">
        <f t="shared" si="12"/>
        <v>256.660486839452</v>
      </c>
      <c r="P48" s="214" t="s">
        <v>17</v>
      </c>
      <c r="R48" s="1">
        <f t="shared" si="14"/>
        <v>240.11312002919706</v>
      </c>
      <c r="S48" s="1">
        <f t="shared" si="14"/>
        <v>207.90912002919703</v>
      </c>
      <c r="T48" s="1">
        <f t="shared" si="14"/>
        <v>236.71308156765866</v>
      </c>
      <c r="U48" s="1">
        <f t="shared" si="14"/>
        <v>253.70620156765852</v>
      </c>
      <c r="V48" s="1">
        <f t="shared" si="14"/>
        <v>263.0438815676585</v>
      </c>
      <c r="W48" s="1"/>
      <c r="X48" s="1">
        <f t="shared" si="14"/>
        <v>215.97312002919705</v>
      </c>
      <c r="Y48" s="1">
        <f t="shared" si="14"/>
        <v>258.21708156765857</v>
      </c>
      <c r="Z48" s="1">
        <f t="shared" si="14"/>
        <v>275.8404815676586</v>
      </c>
      <c r="AA48" s="1">
        <f t="shared" si="14"/>
        <v>295.0310815676584</v>
      </c>
    </row>
    <row r="49" spans="2:27" ht="12">
      <c r="B49" s="213" t="s">
        <v>18</v>
      </c>
      <c r="D49" s="1">
        <f>D20-(D30+$C30+($A$18/52))</f>
        <v>203.4956717231953</v>
      </c>
      <c r="E49" s="1">
        <f>E20-(E30+$C30+($A$18/52))</f>
        <v>219.6508341333145</v>
      </c>
      <c r="F49" s="1">
        <f>F20-(F30+$C30+($A$18/52))</f>
        <v>262.73627751876955</v>
      </c>
      <c r="G49" s="1">
        <f>G20-(G30+$C30+($A$18/52))</f>
        <v>270.941168213348</v>
      </c>
      <c r="H49" s="1">
        <f>H20-(H30+$C30+($A$18/52))</f>
        <v>280.8807397910942</v>
      </c>
      <c r="I49" s="1"/>
      <c r="J49" s="1">
        <f>J20-(J30+$C30+($A$18/52))</f>
        <v>231.1708341333145</v>
      </c>
      <c r="K49" s="1">
        <f>K20-(K30+$C30+($A$18/52))</f>
        <v>273.4882775187695</v>
      </c>
      <c r="L49" s="1">
        <f>L20-(L30+$C30+($A$18/52))</f>
        <v>279.717340213348</v>
      </c>
      <c r="M49" s="1">
        <f>M20-(M30+$C30+($A$18/52))</f>
        <v>293.60841979109415</v>
      </c>
      <c r="P49" s="214" t="s">
        <v>18</v>
      </c>
      <c r="R49" s="1">
        <f t="shared" si="14"/>
        <v>222.28435820869686</v>
      </c>
      <c r="S49" s="1">
        <f t="shared" si="14"/>
        <v>252.04735820869683</v>
      </c>
      <c r="T49" s="1">
        <f t="shared" si="14"/>
        <v>272.74571700743235</v>
      </c>
      <c r="U49" s="1">
        <f t="shared" si="14"/>
        <v>280.95060770201087</v>
      </c>
      <c r="V49" s="1">
        <f t="shared" si="14"/>
        <v>290.89017927975704</v>
      </c>
      <c r="W49" s="1"/>
      <c r="X49" s="1">
        <f t="shared" si="14"/>
        <v>256.0793582086968</v>
      </c>
      <c r="Y49" s="1">
        <f t="shared" si="14"/>
        <v>283.49771700743236</v>
      </c>
      <c r="Z49" s="1">
        <f t="shared" si="14"/>
        <v>289.72677970201084</v>
      </c>
      <c r="AA49" s="1">
        <f t="shared" si="14"/>
        <v>303.617859279757</v>
      </c>
    </row>
    <row r="50" spans="2:27" ht="12">
      <c r="B50" s="213" t="s">
        <v>19</v>
      </c>
      <c r="D50" s="1">
        <f aca="true" t="shared" si="15" ref="D50:H51">D21-(D31+$C31+($A$18/52))</f>
        <v>203.4956717231953</v>
      </c>
      <c r="E50" s="1">
        <f t="shared" si="15"/>
        <v>177.81167172319522</v>
      </c>
      <c r="F50" s="1">
        <f t="shared" si="15"/>
        <v>208.3567871078106</v>
      </c>
      <c r="G50" s="1">
        <f t="shared" si="15"/>
        <v>221.3179071078107</v>
      </c>
      <c r="H50" s="1">
        <f t="shared" si="15"/>
        <v>224.67695049281065</v>
      </c>
      <c r="I50" s="1"/>
      <c r="J50" s="1">
        <f aca="true" t="shared" si="16" ref="J50:M52">J21-(J31+$C31+($A$18/52))</f>
        <v>185.87567172319518</v>
      </c>
      <c r="K50" s="1">
        <f t="shared" si="16"/>
        <v>229.8607871078106</v>
      </c>
      <c r="L50" s="1">
        <f t="shared" si="16"/>
        <v>243.4521871078107</v>
      </c>
      <c r="M50" s="1">
        <f t="shared" si="16"/>
        <v>256.6641504928107</v>
      </c>
      <c r="P50" s="214" t="s">
        <v>19</v>
      </c>
      <c r="R50" s="1">
        <f t="shared" si="14"/>
        <v>222.28435820869686</v>
      </c>
      <c r="S50" s="1">
        <f t="shared" si="14"/>
        <v>207.90035820869684</v>
      </c>
      <c r="T50" s="1">
        <f t="shared" si="14"/>
        <v>236.70431974715837</v>
      </c>
      <c r="U50" s="1">
        <f t="shared" si="14"/>
        <v>253.69743974715834</v>
      </c>
      <c r="V50" s="1">
        <f t="shared" si="14"/>
        <v>263.0351197471584</v>
      </c>
      <c r="W50" s="1"/>
      <c r="X50" s="1">
        <f t="shared" si="14"/>
        <v>215.9643582086968</v>
      </c>
      <c r="Y50" s="1">
        <f t="shared" si="14"/>
        <v>258.2083197471584</v>
      </c>
      <c r="Z50" s="1">
        <f t="shared" si="14"/>
        <v>275.83171974715833</v>
      </c>
      <c r="AA50" s="1">
        <f t="shared" si="14"/>
        <v>295.0223197471584</v>
      </c>
    </row>
    <row r="51" spans="2:27" ht="12">
      <c r="B51" s="213" t="s">
        <v>20</v>
      </c>
      <c r="D51" s="1">
        <f t="shared" si="15"/>
        <v>203.4956717231953</v>
      </c>
      <c r="E51" s="1">
        <f t="shared" si="15"/>
        <v>219.6508341333145</v>
      </c>
      <c r="F51" s="1">
        <f t="shared" si="15"/>
        <v>278.95083413331446</v>
      </c>
      <c r="G51" s="1">
        <f t="shared" si="15"/>
        <v>337.8355702113494</v>
      </c>
      <c r="H51" s="1">
        <f t="shared" si="15"/>
        <v>347.7751417890956</v>
      </c>
      <c r="I51" s="1"/>
      <c r="J51" s="1">
        <f t="shared" si="16"/>
        <v>231.1708341333145</v>
      </c>
      <c r="K51" s="1">
        <f t="shared" si="16"/>
        <v>309.6708341333145</v>
      </c>
      <c r="L51" s="1">
        <f t="shared" si="16"/>
        <v>346.6117422113495</v>
      </c>
      <c r="M51" s="1">
        <f t="shared" si="16"/>
        <v>360.50282178909555</v>
      </c>
      <c r="P51" s="214" t="s">
        <v>20</v>
      </c>
      <c r="R51" s="1">
        <f t="shared" si="14"/>
        <v>222.28435820869686</v>
      </c>
      <c r="S51" s="1">
        <f t="shared" si="14"/>
        <v>317.0099904127219</v>
      </c>
      <c r="T51" s="1">
        <f t="shared" si="14"/>
        <v>337.7083492114574</v>
      </c>
      <c r="U51" s="1">
        <f t="shared" si="14"/>
        <v>347.84500970001227</v>
      </c>
      <c r="V51" s="1">
        <f t="shared" si="14"/>
        <v>357.78458127775843</v>
      </c>
      <c r="W51" s="1"/>
      <c r="X51" s="1">
        <f t="shared" si="14"/>
        <v>321.0419904127218</v>
      </c>
      <c r="Y51" s="1">
        <f t="shared" si="14"/>
        <v>348.46034921145736</v>
      </c>
      <c r="Z51" s="1">
        <f t="shared" si="14"/>
        <v>356.62118170001224</v>
      </c>
      <c r="AA51" s="1">
        <f t="shared" si="14"/>
        <v>370.5122612777585</v>
      </c>
    </row>
    <row r="52" spans="2:27" ht="12">
      <c r="B52" s="264" t="s">
        <v>21</v>
      </c>
      <c r="C52" s="267"/>
      <c r="D52" s="266">
        <v>203.5</v>
      </c>
      <c r="E52" s="266">
        <f>E23-(E33+$C33+($A$18/52))</f>
        <v>153.59083413331444</v>
      </c>
      <c r="F52" s="266">
        <f>F23-(F33+$C33+($A$18/52))</f>
        <v>253.35141931183557</v>
      </c>
      <c r="G52" s="266">
        <f>G23-(G33+$C33+($A$18/52))</f>
        <v>250.0699026968357</v>
      </c>
      <c r="H52" s="266">
        <f>H23-(H33+$C33+($A$18/52))</f>
        <v>144.03958269683585</v>
      </c>
      <c r="I52" s="266"/>
      <c r="J52" s="266">
        <f t="shared" si="16"/>
        <v>176.63083413331452</v>
      </c>
      <c r="K52" s="266">
        <f t="shared" si="16"/>
        <v>274.8554193118357</v>
      </c>
      <c r="L52" s="266">
        <f t="shared" si="16"/>
        <v>272.2041826968357</v>
      </c>
      <c r="M52" s="266">
        <f t="shared" si="16"/>
        <v>176.02678269683577</v>
      </c>
      <c r="P52" s="267" t="s">
        <v>21</v>
      </c>
      <c r="Q52" s="267"/>
      <c r="R52" s="266">
        <f t="shared" si="14"/>
        <v>222.28435820869686</v>
      </c>
      <c r="S52" s="266">
        <f t="shared" si="14"/>
        <v>252.94299041272183</v>
      </c>
      <c r="T52" s="266">
        <f t="shared" si="14"/>
        <v>285.73095195118333</v>
      </c>
      <c r="U52" s="266">
        <f t="shared" si="14"/>
        <v>294.7560719511833</v>
      </c>
      <c r="V52" s="266">
        <f t="shared" si="14"/>
        <v>252.52311533618354</v>
      </c>
      <c r="W52" s="266"/>
      <c r="X52" s="266">
        <f t="shared" si="14"/>
        <v>261.0069904127218</v>
      </c>
      <c r="Y52" s="266">
        <f t="shared" si="14"/>
        <v>307.23495195118335</v>
      </c>
      <c r="Z52" s="266">
        <f t="shared" si="14"/>
        <v>316.8903519511833</v>
      </c>
      <c r="AA52" s="266">
        <f t="shared" si="14"/>
        <v>284.51031533618345</v>
      </c>
    </row>
    <row r="54" spans="2:16" ht="12">
      <c r="B54" s="217" t="s">
        <v>121</v>
      </c>
      <c r="P54" s="244" t="s">
        <v>121</v>
      </c>
    </row>
    <row r="55" spans="2:16" ht="12">
      <c r="B55" s="223" t="s">
        <v>118</v>
      </c>
      <c r="P55" s="225" t="s">
        <v>118</v>
      </c>
    </row>
    <row r="56" spans="2:27" ht="12">
      <c r="B56" s="213" t="s">
        <v>11</v>
      </c>
      <c r="E56" s="1">
        <f aca="true" t="shared" si="17" ref="E56:H58">E37-$D37</f>
        <v>-56.680000000000035</v>
      </c>
      <c r="F56" s="1">
        <f t="shared" si="17"/>
        <v>35.04121812434144</v>
      </c>
      <c r="G56" s="1">
        <f t="shared" si="17"/>
        <v>49.453947355110614</v>
      </c>
      <c r="H56" s="1">
        <f t="shared" si="17"/>
        <v>50.299108508957005</v>
      </c>
      <c r="I56" s="1"/>
      <c r="J56" s="1">
        <f aca="true" t="shared" si="18" ref="J56:M58">J37-$D37</f>
        <v>-56.68000000000009</v>
      </c>
      <c r="K56" s="1">
        <f t="shared" si="18"/>
        <v>51.029187355110736</v>
      </c>
      <c r="L56" s="1">
        <f t="shared" si="18"/>
        <v>51.36308735511059</v>
      </c>
      <c r="M56" s="1">
        <f t="shared" si="18"/>
        <v>53.02070850895686</v>
      </c>
      <c r="P56" s="214" t="s">
        <v>11</v>
      </c>
      <c r="S56" s="1">
        <f>S37-$R37</f>
        <v>-36.599999999999994</v>
      </c>
      <c r="T56" s="1">
        <f aca="true" t="shared" si="19" ref="T56:AA56">T37-$R37</f>
        <v>53.10521812434152</v>
      </c>
      <c r="U56" s="1">
        <f t="shared" si="19"/>
        <v>61.268347355110706</v>
      </c>
      <c r="V56" s="1">
        <f t="shared" si="19"/>
        <v>62.94510850895685</v>
      </c>
      <c r="W56" s="1"/>
      <c r="X56" s="1">
        <f t="shared" si="19"/>
        <v>-36.59999999999994</v>
      </c>
      <c r="Y56" s="1">
        <f t="shared" si="19"/>
        <v>62.23878735511076</v>
      </c>
      <c r="Z56" s="1">
        <f t="shared" si="19"/>
        <v>63.1774873551108</v>
      </c>
      <c r="AA56" s="1">
        <f t="shared" si="19"/>
        <v>65.66670850895682</v>
      </c>
    </row>
    <row r="57" spans="2:27" ht="12">
      <c r="B57" s="213" t="s">
        <v>16</v>
      </c>
      <c r="E57" s="1">
        <f t="shared" si="17"/>
        <v>-16.76000000000002</v>
      </c>
      <c r="F57" s="1">
        <f t="shared" si="17"/>
        <v>34.02560273972611</v>
      </c>
      <c r="G57" s="1">
        <f t="shared" si="17"/>
        <v>39.922047355110664</v>
      </c>
      <c r="H57" s="1">
        <f t="shared" si="17"/>
        <v>44.885608508956835</v>
      </c>
      <c r="I57" s="1"/>
      <c r="J57" s="1">
        <f t="shared" si="18"/>
        <v>-16.76000000000002</v>
      </c>
      <c r="K57" s="1">
        <f t="shared" si="18"/>
        <v>38.50208735511072</v>
      </c>
      <c r="L57" s="1">
        <f t="shared" si="18"/>
        <v>41.83118735511064</v>
      </c>
      <c r="M57" s="1">
        <f t="shared" si="18"/>
        <v>47.6072085089568</v>
      </c>
      <c r="P57" s="214" t="s">
        <v>16</v>
      </c>
      <c r="S57" s="1">
        <f aca="true" t="shared" si="20" ref="S57:AA71">S38-$R38</f>
        <v>-6.759999999999991</v>
      </c>
      <c r="T57" s="1">
        <f t="shared" si="20"/>
        <v>44.02560273972611</v>
      </c>
      <c r="U57" s="1">
        <f t="shared" si="20"/>
        <v>49.922047355110664</v>
      </c>
      <c r="V57" s="1">
        <f t="shared" si="20"/>
        <v>54.885608508956835</v>
      </c>
      <c r="W57" s="1"/>
      <c r="X57" s="1">
        <f t="shared" si="20"/>
        <v>-6.759999999999934</v>
      </c>
      <c r="Y57" s="1">
        <f t="shared" si="20"/>
        <v>48.50208735511072</v>
      </c>
      <c r="Z57" s="1">
        <f t="shared" si="20"/>
        <v>51.83118735511064</v>
      </c>
      <c r="AA57" s="1">
        <f t="shared" si="20"/>
        <v>57.6072085089568</v>
      </c>
    </row>
    <row r="58" spans="2:27" ht="12">
      <c r="B58" s="213" t="s">
        <v>17</v>
      </c>
      <c r="E58" s="1">
        <f t="shared" si="17"/>
        <v>-93.43999999999997</v>
      </c>
      <c r="F58" s="1">
        <f t="shared" si="17"/>
        <v>13.708693508956884</v>
      </c>
      <c r="G58" s="1">
        <f t="shared" si="17"/>
        <v>18.990853508956974</v>
      </c>
      <c r="H58" s="1">
        <f t="shared" si="17"/>
        <v>20.241883508957045</v>
      </c>
      <c r="I58" s="1"/>
      <c r="J58" s="1">
        <f t="shared" si="18"/>
        <v>-93.44000000000003</v>
      </c>
      <c r="K58" s="1">
        <f t="shared" si="18"/>
        <v>19.146133508956922</v>
      </c>
      <c r="L58" s="1">
        <f t="shared" si="18"/>
        <v>22.809133508956933</v>
      </c>
      <c r="M58" s="1">
        <f t="shared" si="18"/>
        <v>26.860403846154014</v>
      </c>
      <c r="P58" s="214" t="s">
        <v>17</v>
      </c>
      <c r="S58" s="1">
        <f t="shared" si="20"/>
        <v>-63.35999999999993</v>
      </c>
      <c r="T58" s="1">
        <f t="shared" si="20"/>
        <v>34.91829350895702</v>
      </c>
      <c r="U58" s="1">
        <f t="shared" si="20"/>
        <v>40.80525350895695</v>
      </c>
      <c r="V58" s="1">
        <f t="shared" si="20"/>
        <v>42.88788350895683</v>
      </c>
      <c r="W58" s="1"/>
      <c r="X58" s="1">
        <f t="shared" si="20"/>
        <v>-63.359999999999985</v>
      </c>
      <c r="Y58" s="1">
        <f t="shared" si="20"/>
        <v>40.35573350895706</v>
      </c>
      <c r="Z58" s="1">
        <f t="shared" si="20"/>
        <v>44.62353350895691</v>
      </c>
      <c r="AA58" s="1">
        <f t="shared" si="20"/>
        <v>53.03440384615382</v>
      </c>
    </row>
    <row r="59" spans="2:27" ht="12">
      <c r="B59" s="213" t="s">
        <v>18</v>
      </c>
      <c r="E59" s="1">
        <f>E40-$D40</f>
        <v>-16.759999999999877</v>
      </c>
      <c r="F59" s="1">
        <f>F40-$D40</f>
        <v>34.02560273972608</v>
      </c>
      <c r="G59" s="1">
        <f>G40-$D40</f>
        <v>39.92204735511075</v>
      </c>
      <c r="H59" s="1">
        <f>H40-$D40</f>
        <v>44.88560850895692</v>
      </c>
      <c r="I59" s="1"/>
      <c r="J59" s="1">
        <f>J40-$D40</f>
        <v>-16.759999999999877</v>
      </c>
      <c r="K59" s="1">
        <f>K40-$D40</f>
        <v>38.50208735511069</v>
      </c>
      <c r="L59" s="1">
        <f>L40-$D40</f>
        <v>41.831187355110615</v>
      </c>
      <c r="M59" s="1">
        <f>M40-$D40</f>
        <v>47.60720850895689</v>
      </c>
      <c r="P59" s="214" t="s">
        <v>18</v>
      </c>
      <c r="S59" s="1">
        <f t="shared" si="20"/>
        <v>-6.759999999999934</v>
      </c>
      <c r="T59" s="1">
        <f t="shared" si="20"/>
        <v>44.02560273972608</v>
      </c>
      <c r="U59" s="1">
        <f t="shared" si="20"/>
        <v>49.922047355110635</v>
      </c>
      <c r="V59" s="1">
        <f t="shared" si="20"/>
        <v>54.88560850895681</v>
      </c>
      <c r="W59" s="1"/>
      <c r="X59" s="1">
        <f t="shared" si="20"/>
        <v>-6.759999999999991</v>
      </c>
      <c r="Y59" s="1">
        <f t="shared" si="20"/>
        <v>48.50208735511069</v>
      </c>
      <c r="Z59" s="1">
        <f t="shared" si="20"/>
        <v>51.831187355110615</v>
      </c>
      <c r="AA59" s="1">
        <f t="shared" si="20"/>
        <v>57.607208508956774</v>
      </c>
    </row>
    <row r="60" spans="2:27" ht="12">
      <c r="B60" s="213" t="s">
        <v>19</v>
      </c>
      <c r="E60" s="1">
        <f aca="true" t="shared" si="21" ref="E60:H61">E41-$D41</f>
        <v>-93.44</v>
      </c>
      <c r="F60" s="1">
        <f t="shared" si="21"/>
        <v>13.708693508956912</v>
      </c>
      <c r="G60" s="1">
        <f t="shared" si="21"/>
        <v>18.990853508956945</v>
      </c>
      <c r="H60" s="1">
        <f t="shared" si="21"/>
        <v>20.241883508957073</v>
      </c>
      <c r="I60" s="1"/>
      <c r="J60" s="1">
        <f aca="true" t="shared" si="22" ref="J60:M61">J41-$D41</f>
        <v>-93.43999999999988</v>
      </c>
      <c r="K60" s="1">
        <f t="shared" si="22"/>
        <v>19.14613350895695</v>
      </c>
      <c r="L60" s="1">
        <f t="shared" si="22"/>
        <v>22.809133508956904</v>
      </c>
      <c r="M60" s="1">
        <f t="shared" si="22"/>
        <v>26.86040384615393</v>
      </c>
      <c r="P60" s="214" t="s">
        <v>19</v>
      </c>
      <c r="S60" s="1">
        <f t="shared" si="20"/>
        <v>-63.35999999999996</v>
      </c>
      <c r="T60" s="1">
        <f t="shared" si="20"/>
        <v>34.91829350895699</v>
      </c>
      <c r="U60" s="1">
        <f t="shared" si="20"/>
        <v>40.80525350895692</v>
      </c>
      <c r="V60" s="1">
        <f t="shared" si="20"/>
        <v>42.88788350895686</v>
      </c>
      <c r="W60" s="1"/>
      <c r="X60" s="1">
        <f t="shared" si="20"/>
        <v>-63.360000000000014</v>
      </c>
      <c r="Y60" s="1">
        <f t="shared" si="20"/>
        <v>40.35573350895692</v>
      </c>
      <c r="Z60" s="1">
        <f t="shared" si="20"/>
        <v>44.62353350895688</v>
      </c>
      <c r="AA60" s="1">
        <f t="shared" si="20"/>
        <v>53.03440384615385</v>
      </c>
    </row>
    <row r="61" spans="2:27" ht="12">
      <c r="B61" s="213" t="s">
        <v>20</v>
      </c>
      <c r="E61" s="1">
        <f t="shared" si="21"/>
        <v>-16.75999999999999</v>
      </c>
      <c r="F61" s="1">
        <f t="shared" si="21"/>
        <v>36.5272181243414</v>
      </c>
      <c r="G61" s="1">
        <f t="shared" si="21"/>
        <v>51.13812427818755</v>
      </c>
      <c r="H61" s="1">
        <f t="shared" si="21"/>
        <v>56.10168543203372</v>
      </c>
      <c r="I61" s="1"/>
      <c r="J61" s="1">
        <f t="shared" si="22"/>
        <v>-16.75999999999999</v>
      </c>
      <c r="K61" s="1">
        <f t="shared" si="22"/>
        <v>49.71816427818749</v>
      </c>
      <c r="L61" s="1">
        <f t="shared" si="22"/>
        <v>53.04726427818753</v>
      </c>
      <c r="M61" s="1">
        <f t="shared" si="22"/>
        <v>58.823285432033686</v>
      </c>
      <c r="P61" s="214" t="s">
        <v>20</v>
      </c>
      <c r="S61" s="1">
        <f t="shared" si="20"/>
        <v>-6.759999999999991</v>
      </c>
      <c r="T61" s="1">
        <f t="shared" si="20"/>
        <v>46.52721812434146</v>
      </c>
      <c r="U61" s="1">
        <f t="shared" si="20"/>
        <v>61.13812427818749</v>
      </c>
      <c r="V61" s="1">
        <f t="shared" si="20"/>
        <v>66.10168543203366</v>
      </c>
      <c r="W61" s="1"/>
      <c r="X61" s="1">
        <f t="shared" si="20"/>
        <v>-6.759999999999991</v>
      </c>
      <c r="Y61" s="1">
        <f t="shared" si="20"/>
        <v>59.718164278187544</v>
      </c>
      <c r="Z61" s="1">
        <f t="shared" si="20"/>
        <v>63.04726427818747</v>
      </c>
      <c r="AA61" s="1">
        <f t="shared" si="20"/>
        <v>68.82328543203374</v>
      </c>
    </row>
    <row r="62" spans="2:27" ht="12">
      <c r="B62" s="213" t="s">
        <v>21</v>
      </c>
      <c r="E62" s="1">
        <f>E43-$D42</f>
        <v>-118.40000000000009</v>
      </c>
      <c r="F62" s="1">
        <f>F43-$D42</f>
        <v>21.929570432033813</v>
      </c>
      <c r="G62" s="1">
        <f>G43-$D42</f>
        <v>25.714130432033755</v>
      </c>
      <c r="H62" s="1">
        <f>H43-$D42</f>
        <v>-105.73803956796615</v>
      </c>
      <c r="I62" s="1"/>
      <c r="J62" s="1">
        <f>J43-$D42</f>
        <v>-118.39999999999998</v>
      </c>
      <c r="K62" s="1">
        <f>K43-$D42</f>
        <v>27.367010432033737</v>
      </c>
      <c r="L62" s="1">
        <f>L43-$D42</f>
        <v>29.53241043203394</v>
      </c>
      <c r="M62" s="1">
        <f>M43-$D42</f>
        <v>-100.29483956796611</v>
      </c>
      <c r="P62" s="214" t="s">
        <v>21</v>
      </c>
      <c r="S62" s="1">
        <f t="shared" si="20"/>
        <v>-83.28000000000003</v>
      </c>
      <c r="T62" s="1">
        <f t="shared" si="20"/>
        <v>43.74397043203368</v>
      </c>
      <c r="U62" s="1">
        <f t="shared" si="20"/>
        <v>48.435730432033665</v>
      </c>
      <c r="V62" s="1">
        <f t="shared" si="20"/>
        <v>2.461960432033777</v>
      </c>
      <c r="W62" s="1"/>
      <c r="X62" s="1">
        <f t="shared" si="20"/>
        <v>-83.28000000000009</v>
      </c>
      <c r="Y62" s="1">
        <f t="shared" si="20"/>
        <v>49.181410432033715</v>
      </c>
      <c r="Z62" s="1">
        <f t="shared" si="20"/>
        <v>52.254010432033624</v>
      </c>
      <c r="AA62" s="1">
        <f t="shared" si="20"/>
        <v>7.9051604320337105</v>
      </c>
    </row>
    <row r="63" spans="5:27" ht="12">
      <c r="E63" s="1"/>
      <c r="F63" s="1"/>
      <c r="G63" s="1"/>
      <c r="H63" s="1"/>
      <c r="I63" s="1"/>
      <c r="J63" s="1"/>
      <c r="K63" s="1"/>
      <c r="L63" s="1"/>
      <c r="M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">
      <c r="B64" s="223" t="s">
        <v>119</v>
      </c>
      <c r="E64" s="1"/>
      <c r="F64" s="1"/>
      <c r="G64" s="1"/>
      <c r="H64" s="1"/>
      <c r="I64" s="1"/>
      <c r="J64" s="1"/>
      <c r="K64" s="1"/>
      <c r="L64" s="1"/>
      <c r="M64" s="1"/>
      <c r="P64" s="225" t="s">
        <v>119</v>
      </c>
      <c r="S64" s="1"/>
      <c r="T64" s="1"/>
      <c r="U64" s="1"/>
      <c r="V64" s="1"/>
      <c r="W64" s="1"/>
      <c r="X64" s="1"/>
      <c r="Y64" s="1"/>
      <c r="Z64" s="1"/>
      <c r="AA64" s="1"/>
    </row>
    <row r="65" spans="2:27" ht="12">
      <c r="B65" s="213" t="s">
        <v>11</v>
      </c>
      <c r="E65" s="1">
        <f aca="true" t="shared" si="23" ref="E65:H67">E46-$D46</f>
        <v>-41.10000000000005</v>
      </c>
      <c r="F65" s="1">
        <f t="shared" si="23"/>
        <v>-25.186884615384628</v>
      </c>
      <c r="G65" s="1">
        <f t="shared" si="23"/>
        <v>-28.690324615384583</v>
      </c>
      <c r="H65" s="1">
        <f t="shared" si="23"/>
        <v>-40.95612123038464</v>
      </c>
      <c r="I65" s="1"/>
      <c r="J65" s="1">
        <f aca="true" t="shared" si="24" ref="J65:M67">J46-$D46</f>
        <v>-30.94500000000008</v>
      </c>
      <c r="K65" s="1">
        <f t="shared" si="24"/>
        <v>-14.434884615384561</v>
      </c>
      <c r="L65" s="1">
        <f t="shared" si="24"/>
        <v>-17.623184615384588</v>
      </c>
      <c r="M65" s="1">
        <f t="shared" si="24"/>
        <v>-24.962521230384624</v>
      </c>
      <c r="P65" s="214" t="s">
        <v>11</v>
      </c>
      <c r="S65" s="1">
        <f t="shared" si="20"/>
        <v>-21.02000000000001</v>
      </c>
      <c r="T65" s="1">
        <f t="shared" si="20"/>
        <v>-4.804476587212974</v>
      </c>
      <c r="U65" s="1">
        <f t="shared" si="20"/>
        <v>-6.319478461538466</v>
      </c>
      <c r="V65" s="1">
        <f t="shared" si="20"/>
        <v>-12.606638461538381</v>
      </c>
      <c r="W65" s="1"/>
      <c r="X65" s="1">
        <f t="shared" si="20"/>
        <v>-10.865000000000038</v>
      </c>
      <c r="Y65" s="1">
        <f t="shared" si="20"/>
        <v>3.903961538461573</v>
      </c>
      <c r="Z65" s="1">
        <f t="shared" si="20"/>
        <v>4.747661538461529</v>
      </c>
      <c r="AA65" s="1">
        <f t="shared" si="20"/>
        <v>3.38696153846152</v>
      </c>
    </row>
    <row r="66" spans="2:27" ht="12">
      <c r="B66" s="213" t="s">
        <v>16</v>
      </c>
      <c r="E66" s="1">
        <f t="shared" si="23"/>
        <v>1.9429999999998984</v>
      </c>
      <c r="F66" s="1">
        <f t="shared" si="23"/>
        <v>22.640605795574317</v>
      </c>
      <c r="G66" s="1">
        <f t="shared" si="23"/>
        <v>30.845496490152783</v>
      </c>
      <c r="H66" s="1">
        <f t="shared" si="23"/>
        <v>40.78506806789895</v>
      </c>
      <c r="I66" s="1"/>
      <c r="J66" s="1">
        <f t="shared" si="24"/>
        <v>5.9749999999999375</v>
      </c>
      <c r="K66" s="1">
        <f t="shared" si="24"/>
        <v>33.39260579557427</v>
      </c>
      <c r="L66" s="1">
        <f t="shared" si="24"/>
        <v>39.62166849015276</v>
      </c>
      <c r="M66" s="1">
        <f t="shared" si="24"/>
        <v>53.51274806789891</v>
      </c>
      <c r="P66" s="214" t="s">
        <v>16</v>
      </c>
      <c r="S66" s="1">
        <f t="shared" si="20"/>
        <v>11.942999999999984</v>
      </c>
      <c r="T66" s="1">
        <f t="shared" si="20"/>
        <v>32.64135879873547</v>
      </c>
      <c r="U66" s="1">
        <f t="shared" si="20"/>
        <v>40.84624949331405</v>
      </c>
      <c r="V66" s="1">
        <f t="shared" si="20"/>
        <v>50.78582107106021</v>
      </c>
      <c r="W66" s="1"/>
      <c r="X66" s="1">
        <f t="shared" si="20"/>
        <v>15.974999999999994</v>
      </c>
      <c r="Y66" s="1">
        <f t="shared" si="20"/>
        <v>43.393358798735534</v>
      </c>
      <c r="Z66" s="1">
        <f t="shared" si="20"/>
        <v>49.62242149331402</v>
      </c>
      <c r="AA66" s="1">
        <f t="shared" si="20"/>
        <v>63.513501071060176</v>
      </c>
    </row>
    <row r="67" spans="2:27" ht="12">
      <c r="B67" s="213" t="s">
        <v>17</v>
      </c>
      <c r="E67" s="1">
        <f t="shared" si="23"/>
        <v>-62.28400000000002</v>
      </c>
      <c r="F67" s="1">
        <f t="shared" si="23"/>
        <v>-31.738884615384592</v>
      </c>
      <c r="G67" s="1">
        <f t="shared" si="23"/>
        <v>-18.777764615384655</v>
      </c>
      <c r="H67" s="1">
        <f t="shared" si="23"/>
        <v>-15.418721230384534</v>
      </c>
      <c r="I67" s="1"/>
      <c r="J67" s="1">
        <f t="shared" si="24"/>
        <v>-54.220000000000056</v>
      </c>
      <c r="K67" s="1">
        <f t="shared" si="24"/>
        <v>-10.234884615384573</v>
      </c>
      <c r="L67" s="1">
        <f t="shared" si="24"/>
        <v>3.356515384615335</v>
      </c>
      <c r="M67" s="1">
        <f t="shared" si="24"/>
        <v>16.568478769615496</v>
      </c>
      <c r="P67" s="214" t="s">
        <v>17</v>
      </c>
      <c r="S67" s="1">
        <f t="shared" si="20"/>
        <v>-32.204000000000036</v>
      </c>
      <c r="T67" s="1">
        <f t="shared" si="20"/>
        <v>-3.4000384615384007</v>
      </c>
      <c r="U67" s="1">
        <f t="shared" si="20"/>
        <v>13.593081538461462</v>
      </c>
      <c r="V67" s="1">
        <f t="shared" si="20"/>
        <v>22.93076153846144</v>
      </c>
      <c r="W67" s="1"/>
      <c r="X67" s="1">
        <f t="shared" si="20"/>
        <v>-24.140000000000015</v>
      </c>
      <c r="Y67" s="1">
        <f t="shared" si="20"/>
        <v>18.103961538461505</v>
      </c>
      <c r="Z67" s="1">
        <f t="shared" si="20"/>
        <v>35.727361538461565</v>
      </c>
      <c r="AA67" s="1">
        <f t="shared" si="20"/>
        <v>54.917961538461356</v>
      </c>
    </row>
    <row r="68" spans="2:27" ht="12">
      <c r="B68" s="213" t="s">
        <v>18</v>
      </c>
      <c r="E68" s="1">
        <f>E49-$D49</f>
        <v>16.155162410119203</v>
      </c>
      <c r="F68" s="1">
        <f>F49-$D49</f>
        <v>59.240605795574254</v>
      </c>
      <c r="G68" s="1">
        <f>G49-$D49</f>
        <v>67.44549649015272</v>
      </c>
      <c r="H68" s="1">
        <f>H49-$D49</f>
        <v>77.38506806789889</v>
      </c>
      <c r="I68" s="1"/>
      <c r="J68" s="1">
        <f>J49-$D49</f>
        <v>27.675162410119185</v>
      </c>
      <c r="K68" s="1">
        <f>K49-$D49</f>
        <v>69.9926057955742</v>
      </c>
      <c r="L68" s="1">
        <f>L49-$D49</f>
        <v>76.2216684901527</v>
      </c>
      <c r="M68" s="1">
        <f>M49-$D49</f>
        <v>90.11274806789885</v>
      </c>
      <c r="P68" s="214" t="s">
        <v>18</v>
      </c>
      <c r="S68" s="1">
        <f t="shared" si="20"/>
        <v>29.762999999999977</v>
      </c>
      <c r="T68" s="1">
        <f t="shared" si="20"/>
        <v>50.46135879873549</v>
      </c>
      <c r="U68" s="1">
        <f t="shared" si="20"/>
        <v>58.66624949331401</v>
      </c>
      <c r="V68" s="1">
        <f t="shared" si="20"/>
        <v>68.60582107106018</v>
      </c>
      <c r="W68" s="1"/>
      <c r="X68" s="1">
        <f t="shared" si="20"/>
        <v>33.79499999999996</v>
      </c>
      <c r="Y68" s="1">
        <f t="shared" si="20"/>
        <v>61.2133587987355</v>
      </c>
      <c r="Z68" s="1">
        <f t="shared" si="20"/>
        <v>67.44242149331399</v>
      </c>
      <c r="AA68" s="1">
        <f t="shared" si="20"/>
        <v>81.33350107106014</v>
      </c>
    </row>
    <row r="69" spans="2:27" ht="12">
      <c r="B69" s="213" t="s">
        <v>19</v>
      </c>
      <c r="E69" s="1">
        <f aca="true" t="shared" si="25" ref="E69:H70">E50-$D50</f>
        <v>-25.684000000000083</v>
      </c>
      <c r="F69" s="1">
        <f t="shared" si="25"/>
        <v>4.861115384615289</v>
      </c>
      <c r="G69" s="1">
        <f t="shared" si="25"/>
        <v>17.822235384615396</v>
      </c>
      <c r="H69" s="1">
        <f t="shared" si="25"/>
        <v>21.181278769615346</v>
      </c>
      <c r="I69" s="1"/>
      <c r="J69" s="1">
        <f aca="true" t="shared" si="26" ref="J69:M70">J50-$D50</f>
        <v>-17.62000000000012</v>
      </c>
      <c r="K69" s="1">
        <f t="shared" si="26"/>
        <v>26.365115384615308</v>
      </c>
      <c r="L69" s="1">
        <f t="shared" si="26"/>
        <v>39.956515384615386</v>
      </c>
      <c r="M69" s="1">
        <f t="shared" si="26"/>
        <v>53.168478769615376</v>
      </c>
      <c r="P69" s="214" t="s">
        <v>19</v>
      </c>
      <c r="S69" s="1">
        <f t="shared" si="20"/>
        <v>-14.384000000000015</v>
      </c>
      <c r="T69" s="1">
        <f t="shared" si="20"/>
        <v>14.419961538461507</v>
      </c>
      <c r="U69" s="1">
        <f t="shared" si="20"/>
        <v>31.413081538461483</v>
      </c>
      <c r="V69" s="1">
        <f t="shared" si="20"/>
        <v>40.75076153846152</v>
      </c>
      <c r="W69" s="1"/>
      <c r="X69" s="1">
        <f t="shared" si="20"/>
        <v>-6.32000000000005</v>
      </c>
      <c r="Y69" s="1">
        <f t="shared" si="20"/>
        <v>35.923961538461526</v>
      </c>
      <c r="Z69" s="1">
        <f t="shared" si="20"/>
        <v>53.54736153846147</v>
      </c>
      <c r="AA69" s="1">
        <f t="shared" si="20"/>
        <v>72.73796153846155</v>
      </c>
    </row>
    <row r="70" spans="2:27" ht="12">
      <c r="B70" s="213" t="s">
        <v>20</v>
      </c>
      <c r="E70" s="1">
        <f t="shared" si="25"/>
        <v>16.155162410119203</v>
      </c>
      <c r="F70" s="1">
        <f t="shared" si="25"/>
        <v>75.45516241011916</v>
      </c>
      <c r="G70" s="1">
        <f t="shared" si="25"/>
        <v>134.33989848815412</v>
      </c>
      <c r="H70" s="1">
        <f t="shared" si="25"/>
        <v>144.27947006590028</v>
      </c>
      <c r="I70" s="1"/>
      <c r="J70" s="1">
        <f t="shared" si="26"/>
        <v>27.675162410119185</v>
      </c>
      <c r="K70" s="1">
        <f t="shared" si="26"/>
        <v>106.17516241011919</v>
      </c>
      <c r="L70" s="1">
        <f t="shared" si="26"/>
        <v>143.1160704881542</v>
      </c>
      <c r="M70" s="1">
        <f t="shared" si="26"/>
        <v>157.00715006590025</v>
      </c>
      <c r="P70" s="214" t="s">
        <v>20</v>
      </c>
      <c r="S70" s="1">
        <f t="shared" si="20"/>
        <v>94.72563220402503</v>
      </c>
      <c r="T70" s="1">
        <f t="shared" si="20"/>
        <v>115.42399100276054</v>
      </c>
      <c r="U70" s="1">
        <f t="shared" si="20"/>
        <v>125.56065149131541</v>
      </c>
      <c r="V70" s="1">
        <f t="shared" si="20"/>
        <v>135.50022306906158</v>
      </c>
      <c r="W70" s="1"/>
      <c r="X70" s="1">
        <f t="shared" si="20"/>
        <v>98.75763220402496</v>
      </c>
      <c r="Y70" s="1">
        <f t="shared" si="20"/>
        <v>126.1759910027605</v>
      </c>
      <c r="Z70" s="1">
        <f t="shared" si="20"/>
        <v>134.33682349131539</v>
      </c>
      <c r="AA70" s="1">
        <f t="shared" si="20"/>
        <v>148.22790306906165</v>
      </c>
    </row>
    <row r="71" spans="2:27" ht="12">
      <c r="B71" s="213" t="s">
        <v>21</v>
      </c>
      <c r="E71" s="1">
        <f>E52-$D51</f>
        <v>-49.904837589880856</v>
      </c>
      <c r="F71" s="1">
        <f>F52-$D51</f>
        <v>49.85574758864027</v>
      </c>
      <c r="G71" s="1">
        <f>G52-$D51</f>
        <v>46.5742309736404</v>
      </c>
      <c r="H71" s="1">
        <f>H52-$D51</f>
        <v>-59.45608902635945</v>
      </c>
      <c r="I71" s="1"/>
      <c r="J71" s="1">
        <f>J52-$D51</f>
        <v>-26.86483758988078</v>
      </c>
      <c r="K71" s="1">
        <f>K52-$D51</f>
        <v>71.3597475886404</v>
      </c>
      <c r="L71" s="1">
        <f>L52-$D51</f>
        <v>68.70851097364039</v>
      </c>
      <c r="M71" s="1">
        <f>M52-$D51</f>
        <v>-27.468889026359534</v>
      </c>
      <c r="P71" s="214" t="s">
        <v>21</v>
      </c>
      <c r="S71" s="1">
        <f t="shared" si="20"/>
        <v>30.65863220402497</v>
      </c>
      <c r="T71" s="1">
        <f t="shared" si="20"/>
        <v>63.44659374248647</v>
      </c>
      <c r="U71" s="1">
        <f t="shared" si="20"/>
        <v>72.47171374248643</v>
      </c>
      <c r="V71" s="1">
        <f t="shared" si="20"/>
        <v>30.23875712748668</v>
      </c>
      <c r="W71" s="1"/>
      <c r="X71" s="1">
        <f t="shared" si="20"/>
        <v>38.72263220402493</v>
      </c>
      <c r="Y71" s="1">
        <f t="shared" si="20"/>
        <v>84.95059374248649</v>
      </c>
      <c r="Z71" s="1">
        <f t="shared" si="20"/>
        <v>94.60599374248642</v>
      </c>
      <c r="AA71" s="1">
        <f t="shared" si="20"/>
        <v>62.225957127486595</v>
      </c>
    </row>
  </sheetData>
  <sheetProtection sheet="1" objects="1" scenarios="1"/>
  <mergeCells count="6">
    <mergeCell ref="AS5:AX5"/>
    <mergeCell ref="AR5:AR7"/>
    <mergeCell ref="AD6:AG6"/>
    <mergeCell ref="AH6:AK6"/>
    <mergeCell ref="AS6:AU6"/>
    <mergeCell ref="AV6:AX6"/>
  </mergeCells>
  <dataValidations count="2">
    <dataValidation type="list" allowBlank="1" showInputMessage="1" showErrorMessage="1" sqref="AR3">
      <formula1>$AD$7:$AG$7</formula1>
    </dataValidation>
    <dataValidation type="list" allowBlank="1" showInputMessage="1" showErrorMessage="1" sqref="AR2">
      <formula1>$B$8:$B$14</formula1>
    </dataValidation>
  </dataValidations>
  <hyperlinks>
    <hyperlink ref="AR1" location="Index!A1" display="Index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 Morgan</dc:creator>
  <cp:keywords/>
  <dc:description/>
  <cp:lastModifiedBy>Ian Jones</cp:lastModifiedBy>
  <dcterms:created xsi:type="dcterms:W3CDTF">2011-03-26T21:47:47Z</dcterms:created>
  <dcterms:modified xsi:type="dcterms:W3CDTF">2011-06-13T11:04:00Z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